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!!Сайт\Сорокин\2026.01\_Раскрытие информации\СО\"/>
    </mc:Choice>
  </mc:AlternateContent>
  <xr:revisionPtr revIDLastSave="0" documentId="13_ncr:1_{8792D279-5D5A-4B35-B112-E0B9D93F3612}" xr6:coauthVersionLast="47" xr6:coauthVersionMax="47" xr10:uidLastSave="{00000000-0000-0000-0000-000000000000}"/>
  <bookViews>
    <workbookView xWindow="2250" yWindow="1275" windowWidth="34560" windowHeight="18645" xr2:uid="{00000000-000D-0000-FFFF-FFFF00000000}"/>
  </bookViews>
  <sheets>
    <sheet name="СО." sheetId="1" r:id="rId1"/>
  </sheets>
  <definedNames>
    <definedName name="Z_0DAA13A1_C5B8_4B15_86C3_4B7DEE97E221_.wvu.Cols" localSheetId="0" hidden="1">СО.!#REF!</definedName>
    <definedName name="Z_0DAA13A1_C5B8_4B15_86C3_4B7DEE97E221_.wvu.PrintArea" localSheetId="0" hidden="1">СО.!$A$1:$G$109</definedName>
    <definedName name="Z_0DAA13A1_C5B8_4B15_86C3_4B7DEE97E221_.wvu.Rows" localSheetId="0" hidden="1">СО.!$84:$84,СО.!$92:$93</definedName>
    <definedName name="_xlnm.Print_Area" localSheetId="0">СО.!$A$1:$G$109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1" l="1"/>
  <c r="E90" i="1"/>
  <c r="F70" i="1"/>
  <c r="E70" i="1"/>
  <c r="F69" i="1"/>
  <c r="E69" i="1"/>
  <c r="F68" i="1"/>
  <c r="E68" i="1"/>
  <c r="F67" i="1"/>
  <c r="E67" i="1"/>
  <c r="F65" i="1"/>
  <c r="E65" i="1"/>
  <c r="F64" i="1"/>
  <c r="E64" i="1"/>
  <c r="F63" i="1"/>
  <c r="E63" i="1"/>
  <c r="F61" i="1"/>
  <c r="E61" i="1"/>
  <c r="F60" i="1"/>
  <c r="E60" i="1"/>
  <c r="F59" i="1"/>
  <c r="E59" i="1"/>
  <c r="F58" i="1"/>
  <c r="E58" i="1"/>
  <c r="F57" i="1"/>
  <c r="E57" i="1"/>
  <c r="F56" i="1"/>
  <c r="E56" i="1"/>
  <c r="F54" i="1"/>
  <c r="E54" i="1"/>
  <c r="F53" i="1"/>
  <c r="E53" i="1"/>
  <c r="F52" i="1"/>
  <c r="E52" i="1"/>
  <c r="F50" i="1"/>
  <c r="E50" i="1"/>
  <c r="F49" i="1"/>
  <c r="E49" i="1"/>
  <c r="F48" i="1"/>
  <c r="E48" i="1"/>
  <c r="F47" i="1"/>
  <c r="E47" i="1"/>
  <c r="F46" i="1"/>
  <c r="E46" i="1"/>
  <c r="F45" i="1"/>
  <c r="E45" i="1"/>
  <c r="F43" i="1"/>
  <c r="E43" i="1"/>
  <c r="F42" i="1"/>
  <c r="E42" i="1"/>
  <c r="F41" i="1"/>
  <c r="E41" i="1"/>
  <c r="F39" i="1"/>
  <c r="E39" i="1"/>
  <c r="F38" i="1"/>
  <c r="E38" i="1"/>
  <c r="F37" i="1"/>
  <c r="E37" i="1"/>
  <c r="F36" i="1"/>
  <c r="E36" i="1"/>
  <c r="F35" i="1"/>
  <c r="E35" i="1"/>
  <c r="F34" i="1"/>
  <c r="E34" i="1"/>
  <c r="F15" i="1"/>
  <c r="E15" i="1"/>
  <c r="F14" i="1"/>
  <c r="E14" i="1"/>
  <c r="F12" i="1"/>
  <c r="E12" i="1"/>
  <c r="F10" i="1"/>
  <c r="E10" i="1"/>
  <c r="F9" i="1"/>
  <c r="E9" i="1"/>
</calcChain>
</file>

<file path=xl/sharedStrings.xml><?xml version="1.0" encoding="utf-8"?>
<sst xmlns="http://schemas.openxmlformats.org/spreadsheetml/2006/main" count="234" uniqueCount="123">
  <si>
    <t>№ пп</t>
  </si>
  <si>
    <t>Вид товара (услуги)</t>
  </si>
  <si>
    <t>Ед.изм.</t>
  </si>
  <si>
    <t>2025г.</t>
  </si>
  <si>
    <t>Документ, которым утверждены тарифы</t>
  </si>
  <si>
    <t>1 пг.</t>
  </si>
  <si>
    <t>2 пг.</t>
  </si>
  <si>
    <t>1.</t>
  </si>
  <si>
    <t>Сбытовые надбавки</t>
  </si>
  <si>
    <t>руб./МВт*ч</t>
  </si>
  <si>
    <t>1.5.</t>
  </si>
  <si>
    <r>
      <t>Сбытовая надбавка</t>
    </r>
    <r>
      <rPr>
        <b/>
        <sz val="10"/>
        <color indexed="18"/>
        <rFont val="Arial"/>
        <family val="2"/>
        <charset val="204"/>
      </rPr>
      <t xml:space="preserve"> ЭнергосбыТ Плюс</t>
    </r>
  </si>
  <si>
    <t>Постановление РЭК СО №131-ПК от 10.12.2024г.</t>
  </si>
  <si>
    <t>1.5.1.</t>
  </si>
  <si>
    <t>Население и приравненные</t>
  </si>
  <si>
    <t>1.5.2.</t>
  </si>
  <si>
    <t>Сетевые организации</t>
  </si>
  <si>
    <t>1.5.3.</t>
  </si>
  <si>
    <t>Прочие потребители</t>
  </si>
  <si>
    <t>менее 150 кВт</t>
  </si>
  <si>
    <t>от 150 до 670 кВт</t>
  </si>
  <si>
    <t>от 670 кВт до 10 МВт</t>
  </si>
  <si>
    <t xml:space="preserve"> не менее 10 МВт</t>
  </si>
  <si>
    <t>2.</t>
  </si>
  <si>
    <t>Инфраструктурные платежи</t>
  </si>
  <si>
    <t>2.1.</t>
  </si>
  <si>
    <t>ЦФР</t>
  </si>
  <si>
    <t>2.2.</t>
  </si>
  <si>
    <t>АТС</t>
  </si>
  <si>
    <t>Приказ ФАС №1062/24 от 23.12.2024</t>
  </si>
  <si>
    <t>2.3.</t>
  </si>
  <si>
    <t>СО ЕЭС</t>
  </si>
  <si>
    <t>Приказ ФАС №1063/24 от 23.12.2024</t>
  </si>
  <si>
    <t>3.</t>
  </si>
  <si>
    <t xml:space="preserve">Передача </t>
  </si>
  <si>
    <t>3.1.</t>
  </si>
  <si>
    <r>
      <t>По сетям МРСК (</t>
    </r>
    <r>
      <rPr>
        <b/>
        <sz val="10"/>
        <color indexed="18"/>
        <rFont val="Arial"/>
        <family val="2"/>
        <charset val="204"/>
      </rPr>
      <t>одноставочный тариф</t>
    </r>
    <r>
      <rPr>
        <sz val="10"/>
        <color indexed="18"/>
        <rFont val="Arial"/>
        <family val="2"/>
        <charset val="204"/>
      </rPr>
      <t>)</t>
    </r>
  </si>
  <si>
    <t>3.1.1.</t>
  </si>
  <si>
    <t>Прочие</t>
  </si>
  <si>
    <t xml:space="preserve">Постановление РЭК Свердловской области от 10.12.2024 № 135-ПК
</t>
  </si>
  <si>
    <t>Электроплиты и электроустановки</t>
  </si>
  <si>
    <t xml:space="preserve">Электроплиты </t>
  </si>
  <si>
    <t>электроустановки</t>
  </si>
  <si>
    <t>Село</t>
  </si>
  <si>
    <t>Приравненные (сады)</t>
  </si>
  <si>
    <t>Приравненные (ГП,ЭСО)</t>
  </si>
  <si>
    <t>-</t>
  </si>
  <si>
    <t>Приравненные (юр.лица для осужд.)</t>
  </si>
  <si>
    <t>Приравненные (религиозные орг-ции)</t>
  </si>
  <si>
    <t>Приравненные (хоз постройки, погреба, сараи)</t>
  </si>
  <si>
    <t>3.1.1.1</t>
  </si>
  <si>
    <r>
      <t>Население и приравненные* (</t>
    </r>
    <r>
      <rPr>
        <b/>
        <sz val="10"/>
        <color indexed="18"/>
        <rFont val="Arial"/>
        <family val="2"/>
        <charset val="204"/>
      </rPr>
      <t>1-ый диапазон) одноставочный тариф (в т.ч. дифференцированный по двум или трем зонам суток)</t>
    </r>
  </si>
  <si>
    <t>Приравненные (ГП,ЭСО)**</t>
  </si>
  <si>
    <t>3.1.1.2</t>
  </si>
  <si>
    <r>
      <t>Население и приравненные* (</t>
    </r>
    <r>
      <rPr>
        <b/>
        <sz val="10"/>
        <color indexed="18"/>
        <rFont val="Arial"/>
        <family val="2"/>
        <charset val="204"/>
      </rPr>
      <t>2-ой диапазон) одноставочный тариф (в т.ч. дифференцированный по двум или трем зонам суток)</t>
    </r>
  </si>
  <si>
    <t>3.1.1.3</t>
  </si>
  <si>
    <r>
      <t>Население и приравненные* (</t>
    </r>
    <r>
      <rPr>
        <b/>
        <sz val="10"/>
        <color indexed="18"/>
        <rFont val="Arial"/>
        <family val="2"/>
        <charset val="204"/>
      </rPr>
      <t>3-ий диапазон) одноставочный тариф (в т.ч. дифференцированный по двум или трем зонам суток)</t>
    </r>
  </si>
  <si>
    <t>3.1.2.</t>
  </si>
  <si>
    <t>Прочие потребители (одноставочный тариф)</t>
  </si>
  <si>
    <t>ВН</t>
  </si>
  <si>
    <t>СН1</t>
  </si>
  <si>
    <t>СН2</t>
  </si>
  <si>
    <t>НН</t>
  </si>
  <si>
    <t>3.2.</t>
  </si>
  <si>
    <t>Прочие потребители по сетям МРСК (двухствочный тариф)</t>
  </si>
  <si>
    <t>3.2.1.</t>
  </si>
  <si>
    <t>Прочие потребители (мощность)</t>
  </si>
  <si>
    <t>руб./МВт.мес.</t>
  </si>
  <si>
    <t>3.2.2.</t>
  </si>
  <si>
    <t>Прочие потребители (э/э)</t>
  </si>
  <si>
    <t>3.3.</t>
  </si>
  <si>
    <t>По сетям ФСК</t>
  </si>
  <si>
    <t>Приказ ФАС России от 31.10.2024 N 816/24</t>
  </si>
  <si>
    <t>3.3.1.</t>
  </si>
  <si>
    <t>По сетям ФСК (мощность)</t>
  </si>
  <si>
    <t>3.3.2.</t>
  </si>
  <si>
    <t>По сетям ФСК (э/э)</t>
  </si>
  <si>
    <t>Норматив потерь ФСК</t>
  </si>
  <si>
    <t>%</t>
  </si>
  <si>
    <t>4.</t>
  </si>
  <si>
    <t>Тарифы ЕЭТ</t>
  </si>
  <si>
    <t>4.1.</t>
  </si>
  <si>
    <t>Мощность</t>
  </si>
  <si>
    <t>Постановление РЭК Свердловской области №133-ПК от 10.12.2024</t>
  </si>
  <si>
    <t>4.2.</t>
  </si>
  <si>
    <t>э/э</t>
  </si>
  <si>
    <t>4.3.</t>
  </si>
  <si>
    <t>Норматив потерь</t>
  </si>
  <si>
    <t>4.4.</t>
  </si>
  <si>
    <t>Одноставочный тариф</t>
  </si>
  <si>
    <t>4.5.</t>
  </si>
  <si>
    <t>Ставка по техприсоединению за 1 кВт</t>
  </si>
  <si>
    <t>руб/кВт</t>
  </si>
  <si>
    <t>Постановление РЭК Свердловской области №116-ПК от 29.11.2024</t>
  </si>
  <si>
    <t>- до 150 кВт</t>
  </si>
  <si>
    <t>- от 150 кВт</t>
  </si>
  <si>
    <t>Городской населенный пункт</t>
  </si>
  <si>
    <t>Не относящиеся к городским населенным пунктам</t>
  </si>
  <si>
    <t>Ставка за 1 техприсоединение</t>
  </si>
  <si>
    <t>руб./шт.</t>
  </si>
  <si>
    <t>20 135 / 32 533</t>
  </si>
  <si>
    <t>5.</t>
  </si>
  <si>
    <t>Покупка (индикатив)</t>
  </si>
  <si>
    <t>5.1.</t>
  </si>
  <si>
    <t>Электроэнергия</t>
  </si>
  <si>
    <t>Приказ ФАС №908-24 от 27.11.2024</t>
  </si>
  <si>
    <t>5.2.</t>
  </si>
  <si>
    <t>6.</t>
  </si>
  <si>
    <t>Конечные тарифы населения</t>
  </si>
  <si>
    <t>6.1.</t>
  </si>
  <si>
    <t>с 0,7</t>
  </si>
  <si>
    <t>руб./кВт*ч 
(с НДС)</t>
  </si>
  <si>
    <t>Постановление РЭК СО  № 130-ПК 10.12.2024</t>
  </si>
  <si>
    <t>Для первого диапазона</t>
  </si>
  <si>
    <t>Для второго диапазона</t>
  </si>
  <si>
    <t>Для третьего диапазона</t>
  </si>
  <si>
    <t>6.2.</t>
  </si>
  <si>
    <t>без 0,7</t>
  </si>
  <si>
    <t>**</t>
  </si>
  <si>
    <t>Больше нет отдельного тарифа на передачу для ГП, ЭСО. Теперь значение тарифа на передачу зависит от того, кому поставляется электроэнергия</t>
  </si>
  <si>
    <t>Цена на электрическую энергию в 2025 году в Свердловской области</t>
  </si>
  <si>
    <t>Приказ Министерства энергетики №1916 от 09.10.2024г.</t>
  </si>
  <si>
    <t>Пресс-релиз инфраструктура ЦФР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</si>
</sst>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-* #,##0.000_р_._-;\-* #,##0.000_р_._-;_-* &quot;-&quot;??_р_._-;_-@_-"/>
    <numFmt numFmtId="167" formatCode="_-* #,##0.00\ _₽_-;\-* #,##0.00\ _₽_-;_-* &quot;-&quot;??\ _₽_-;_-@_-"/>
    <numFmt numFmtId="168" formatCode="_-* #,##0_р_._-;\-* #,##0_р_._-;_-* &quot;-&quot;??_р_._-;_-@_-"/>
    <numFmt numFmtId="169" formatCode="_-* #,##0.000000_р_._-;\-* #,##0.000000_р_._-;_-* &quot;-&quot;??_р_._-;_-@_-"/>
  </numFmts>
  <fonts count="1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1"/>
      <color indexed="18"/>
      <name val="Arial"/>
      <family val="2"/>
      <charset val="204"/>
    </font>
    <font>
      <sz val="11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00008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 inden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wrapText="1" indent="2"/>
    </xf>
    <xf numFmtId="0" fontId="9" fillId="0" borderId="0" xfId="0" applyFont="1" applyFill="1"/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6" fontId="5" fillId="3" borderId="3" xfId="0" applyNumberFormat="1" applyFont="1" applyFill="1" applyBorder="1" applyAlignment="1">
      <alignment vertical="center" wrapText="1"/>
    </xf>
    <xf numFmtId="166" fontId="5" fillId="3" borderId="4" xfId="0" applyNumberFormat="1" applyFont="1" applyFill="1" applyBorder="1" applyAlignment="1">
      <alignment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0" fontId="12" fillId="2" borderId="1" xfId="5" applyFill="1" applyBorder="1" applyAlignment="1" applyProtection="1">
      <alignment horizontal="center" vertical="center" wrapText="1"/>
    </xf>
    <xf numFmtId="0" fontId="12" fillId="0" borderId="0" xfId="5" applyFill="1" applyAlignment="1" applyProtection="1"/>
    <xf numFmtId="0" fontId="13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2" borderId="5" xfId="3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0" fontId="4" fillId="0" borderId="7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/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 indent="2"/>
    </xf>
    <xf numFmtId="0" fontId="1" fillId="2" borderId="1" xfId="3" applyFill="1" applyBorder="1"/>
    <xf numFmtId="0" fontId="8" fillId="0" borderId="0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right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/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9" fontId="8" fillId="0" borderId="0" xfId="2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4" fillId="0" borderId="5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4" fillId="0" borderId="1" xfId="3" applyFont="1" applyFill="1" applyBorder="1" applyAlignment="1">
      <alignment horizontal="left" vertical="center" wrapText="1" indent="1"/>
    </xf>
    <xf numFmtId="0" fontId="4" fillId="0" borderId="1" xfId="3" quotePrefix="1" applyFont="1" applyFill="1" applyBorder="1" applyAlignment="1">
      <alignment horizontal="right" vertical="center" wrapText="1" indent="1"/>
    </xf>
    <xf numFmtId="0" fontId="4" fillId="0" borderId="1" xfId="3" quotePrefix="1" applyFont="1" applyFill="1" applyBorder="1" applyAlignment="1">
      <alignment horizontal="left" vertical="center" wrapText="1" indent="3"/>
    </xf>
    <xf numFmtId="0" fontId="10" fillId="0" borderId="0" xfId="0" applyFont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10" fontId="8" fillId="0" borderId="0" xfId="2" applyNumberFormat="1" applyFont="1" applyFill="1"/>
    <xf numFmtId="0" fontId="1" fillId="0" borderId="0" xfId="0" applyFont="1"/>
    <xf numFmtId="0" fontId="4" fillId="2" borderId="0" xfId="0" applyFont="1" applyFill="1" applyBorder="1" applyAlignment="1">
      <alignment horizontal="right" vertical="center" wrapText="1"/>
    </xf>
    <xf numFmtId="0" fontId="0" fillId="0" borderId="0" xfId="0" applyBorder="1"/>
    <xf numFmtId="0" fontId="15" fillId="0" borderId="0" xfId="0" applyFont="1"/>
    <xf numFmtId="0" fontId="3" fillId="2" borderId="0" xfId="3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3" fillId="2" borderId="0" xfId="3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2" borderId="1" xfId="5" applyFill="1" applyBorder="1" applyAlignment="1" applyProtection="1">
      <alignment horizontal="center" vertical="center" wrapText="1"/>
    </xf>
    <xf numFmtId="0" fontId="12" fillId="0" borderId="5" xfId="5" applyBorder="1" applyAlignment="1" applyProtection="1">
      <alignment horizontal="center" vertical="center" wrapText="1"/>
    </xf>
    <xf numFmtId="0" fontId="12" fillId="0" borderId="6" xfId="5" applyBorder="1" applyAlignment="1" applyProtection="1">
      <alignment horizontal="center" vertical="center" wrapText="1"/>
    </xf>
    <xf numFmtId="0" fontId="12" fillId="0" borderId="7" xfId="5" applyBorder="1" applyAlignment="1" applyProtection="1">
      <alignment horizontal="center" vertical="center" wrapText="1"/>
    </xf>
    <xf numFmtId="0" fontId="12" fillId="2" borderId="5" xfId="5" applyFill="1" applyBorder="1" applyAlignment="1" applyProtection="1">
      <alignment horizontal="center" vertical="center" wrapText="1"/>
    </xf>
    <xf numFmtId="0" fontId="12" fillId="2" borderId="7" xfId="5" applyFill="1" applyBorder="1" applyAlignment="1" applyProtection="1">
      <alignment horizontal="center" vertical="center" wrapText="1"/>
    </xf>
    <xf numFmtId="0" fontId="12" fillId="2" borderId="7" xfId="5" applyFill="1" applyBorder="1" applyAlignment="1" applyProtection="1">
      <alignment horizontal="center" vertical="center" wrapText="1"/>
    </xf>
    <xf numFmtId="0" fontId="12" fillId="0" borderId="5" xfId="5" applyFill="1" applyBorder="1" applyAlignment="1" applyProtection="1">
      <alignment horizontal="center" vertical="center" wrapText="1"/>
    </xf>
    <xf numFmtId="0" fontId="12" fillId="0" borderId="6" xfId="5" applyFill="1" applyBorder="1" applyAlignment="1" applyProtection="1">
      <alignment horizontal="center" vertical="center" wrapText="1"/>
    </xf>
    <xf numFmtId="0" fontId="12" fillId="0" borderId="7" xfId="5" applyFill="1" applyBorder="1" applyAlignment="1" applyProtection="1">
      <alignment horizontal="center" vertical="center" wrapText="1"/>
    </xf>
    <xf numFmtId="0" fontId="12" fillId="2" borderId="5" xfId="5" applyFill="1" applyBorder="1" applyAlignment="1" applyProtection="1">
      <alignment horizontal="center" wrapText="1"/>
    </xf>
    <xf numFmtId="0" fontId="12" fillId="2" borderId="7" xfId="5" applyFill="1" applyBorder="1" applyAlignment="1" applyProtection="1">
      <alignment horizontal="center" wrapText="1"/>
    </xf>
  </cellXfs>
  <cellStyles count="6">
    <cellStyle name="Гиперссылка" xfId="5" builtinId="8"/>
    <cellStyle name="Обычный" xfId="0" builtinId="0"/>
    <cellStyle name="Обычный 2" xfId="3" xr:uid="{00000000-0005-0000-0000-000002000000}"/>
    <cellStyle name="Процентный" xfId="2" builtinId="5"/>
    <cellStyle name="Процентный 2 2" xfId="4" xr:uid="{00000000-0005-0000-0000-000004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ef.ru/upload/Tarif/2025_CO_&#1055;&#1086;&#1089;&#1090;&#1072;&#1085;&#1086;&#1074;&#1083;&#1077;&#1085;&#1080;&#1077;%20&#1056;&#1069;&#1050;%20&#1057;&#1054;%20133-&#1055;&#1050;%20&#1086;&#1090;%2010.12.2024&#1075;.%20_&#1080;&#1085;&#1076;&#1080;&#1074;&#1080;&#1076;&#1091;&#1072;&#1083;&#1100;&#1085;&#1099;&#1077;%20&#1090;&#1072;&#1088;&#1080;&#1092;&#1099;%20&#1087;&#1086;%20&#1087;&#1077;&#1088;&#1077;&#1076;&#1072;&#1095;&#1077;%20&#1101;&#1083;&#1077;&#1082;&#1090;&#1088;&#1080;&#1095;&#1077;&#1089;&#1082;&#1086;&#1081;%20&#1101;&#1085;&#1077;&#1088;&#1075;&#1080;&#1080;.pdf" TargetMode="External"/><Relationship Id="rId3" Type="http://schemas.openxmlformats.org/officeDocument/2006/relationships/hyperlink" Target="http://mef.ru/upload/Tarif/2025_CO_&#1055;&#1088;&#1080;&#1082;&#1072;&#1079;%20&#1060;&#1040;&#1057;%201062_24%20&#1086;&#1090;%2023.12.2024_&#1091;&#1089;&#1083;&#1091;&#1075;&#1080;%20&#1040;&#1058;&#1057;.pdf" TargetMode="External"/><Relationship Id="rId7" Type="http://schemas.openxmlformats.org/officeDocument/2006/relationships/hyperlink" Target="http://mef.ru/upload/Tarif/2025_CO_&#1055;&#1088;&#1080;&#1082;&#1072;&#1079;%20&#1052;&#1080;&#1085;&#1101;&#1085;&#1077;&#1088;&#1075;&#1086;%201916%20%20&#1086;&#1090;%2009.10.2024_%20&#1085;&#1086;&#1088;&#1084;&#1072;&#1090;&#1080;&#1074;%20&#1087;&#1086;&#1090;&#1077;&#1088;&#1100;%20&#1060;&#1057;&#1050;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ef.ru/upload/Tarif/2025_CO_&#1055;&#1086;&#1089;&#1090;&#1072;&#1085;&#1086;&#1074;&#1083;&#1077;&#1085;&#1080;&#1077;%20&#1056;&#1069;&#1050;%20&#1057;&#1054;%20131-&#1055;&#1050;%20&#1086;&#1090;%2010.12.2024&#1075;.%20_&#1057;&#1073;&#1099;&#1090;&#1086;&#1074;&#1099;&#1077;%20&#1085;&#1072;&#1076;&#1073;&#1072;&#1074;&#1082;&#1080;.pdf" TargetMode="External"/><Relationship Id="rId1" Type="http://schemas.openxmlformats.org/officeDocument/2006/relationships/hyperlink" Target="http://mef.ru/upload/Tarif/2025_CO_&#1055;&#1088;&#1077;&#1089;&#1089;-&#1088;&#1077;&#1083;&#1080;&#1079;%20&#1080;&#1085;&#1092;&#1088;&#1072;&#1089;&#1090;&#1088;&#1091;&#1082;&#1090;&#1091;&#1088;&#1072;%20&#1062;&#1060;&#1056;%20&#1085;&#1072;%202025&#1075;..docx" TargetMode="External"/><Relationship Id="rId6" Type="http://schemas.openxmlformats.org/officeDocument/2006/relationships/hyperlink" Target="http://mef.ru/upload/Tarif/2025_CO_&#1055;&#1088;&#1080;&#1082;&#1072;&#1079;%20&#1060;&#1040;&#1057;%20816_24%20&#1086;&#1090;%2031.10.2024_&#1087;&#1077;&#1088;&#1077;&#1076;&#1072;&#1095;&#1072;%20&#1060;&#1057;&#1050;.pdf" TargetMode="External"/><Relationship Id="rId11" Type="http://schemas.openxmlformats.org/officeDocument/2006/relationships/hyperlink" Target="http://mef.ru/upload/Tarif/2025_CO_&#1055;&#1086;&#1089;&#1090;&#1072;&#1085;&#1086;&#1074;&#1083;&#1077;&#1085;&#1080;&#1077;%20&#1056;&#1069;&#1050;%20&#1057;&#1054;%20130-&#1055;&#1050;%20&#1086;&#1090;%2010.12.2024&#1075;.%20_&#1082;&#1086;&#1085;&#1077;&#1095;&#1085;&#1099;&#1077;%20&#1090;&#1072;&#1088;&#1080;&#1092;&#1099;%20&#1076;&#1083;&#1103;%20&#1085;&#1072;&#1089;&#1077;&#1083;&#1077;&#1085;&#1080;&#1103;.pdf" TargetMode="External"/><Relationship Id="rId5" Type="http://schemas.openxmlformats.org/officeDocument/2006/relationships/hyperlink" Target="http://mef.ru/upload/Tarif/2025_CO_&#1055;&#1086;&#1089;&#1090;&#1072;&#1085;&#1086;&#1074;&#1083;&#1077;&#1085;&#1080;&#1077;%20&#1056;&#1069;&#1050;%20&#1057;&#1054;%20135-&#1055;&#1050;%20&#1086;&#1090;%2010.12.2024&#1075;.%20_&#1050;&#1086;&#1090;&#1083;&#1086;&#1074;&#1099;&#1077;%20&#1090;&#1072;&#1088;&#1080;&#1092;&#1099;.pdf" TargetMode="External"/><Relationship Id="rId10" Type="http://schemas.openxmlformats.org/officeDocument/2006/relationships/hyperlink" Target="http://mef.ru/upload/Tarif/2025_CO_&#1055;&#1088;&#1080;&#1082;&#1072;&#1079;%20&#1060;&#1040;&#1057;%20908-24%20&#1086;&#1090;%2027.11.2024_&#1080;&#1085;&#1076;&#1080;&#1082;&#1072;&#1090;&#1080;&#1074;&#1099;%20&#1085;&#1072;&#1089;&#1077;&#1083;&#1077;&#1085;&#1080;&#1077;.pdf" TargetMode="External"/><Relationship Id="rId4" Type="http://schemas.openxmlformats.org/officeDocument/2006/relationships/hyperlink" Target="http://mef.ru/upload/Tarif/2025_CO_&#1055;&#1088;&#1080;&#1082;&#1072;&#1079;%20&#1060;&#1040;&#1057;%201063_24%20&#1086;&#1090;%2023.12.2024_&#1091;&#1089;&#1083;&#1091;&#1075;&#1080;%20&#1057;&#1054;%20&#1045;&#1069;&#1057;.pdf" TargetMode="External"/><Relationship Id="rId9" Type="http://schemas.openxmlformats.org/officeDocument/2006/relationships/hyperlink" Target="http://mef.ru/upload/Tarif/2025_CO_&#1055;&#1086;&#1089;&#1090;&#1072;&#1085;&#1086;&#1074;&#1083;&#1077;&#1085;&#1080;&#1077;%20&#1056;&#1069;&#1050;%20&#1057;&#1074;&#1077;&#1088;&#1076;&#1083;&#1086;&#1074;&#1089;&#1082;&#1086;&#1081;%20&#1086;&#1073;&#1083;&#1072;&#1089;&#1090;&#1080;%20116-&#1055;&#1050;%20&#1086;&#1090;%2029.11.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115"/>
  <sheetViews>
    <sheetView tabSelected="1" topLeftCell="B1" zoomScaleNormal="100" zoomScaleSheetLayoutView="100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G101" sqref="G101:G108"/>
    </sheetView>
  </sheetViews>
  <sheetFormatPr defaultRowHeight="13.2" outlineLevelRow="1" x14ac:dyDescent="0.25"/>
  <cols>
    <col min="1" max="1" width="2.44140625" customWidth="1"/>
    <col min="2" max="2" width="6.44140625" customWidth="1"/>
    <col min="3" max="3" width="37.33203125" customWidth="1"/>
    <col min="4" max="4" width="14" customWidth="1"/>
    <col min="5" max="6" width="15.88671875" customWidth="1"/>
    <col min="7" max="7" width="20.6640625" customWidth="1"/>
    <col min="8" max="8" width="1.6640625" customWidth="1"/>
    <col min="9" max="9" width="25.44140625" customWidth="1"/>
    <col min="10" max="10" width="12.44140625" customWidth="1"/>
    <col min="13" max="13" width="9.109375" style="8"/>
  </cols>
  <sheetData>
    <row r="2" spans="2:25" s="1" customFormat="1" ht="34.5" customHeight="1" x14ac:dyDescent="0.25">
      <c r="B2" s="88" t="s">
        <v>120</v>
      </c>
      <c r="C2" s="88"/>
      <c r="D2" s="88"/>
      <c r="E2" s="88"/>
      <c r="F2" s="88"/>
      <c r="G2" s="88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2:25" s="1" customFormat="1" ht="6.75" customHeight="1" x14ac:dyDescent="0.25">
      <c r="B3" s="3"/>
      <c r="E3" s="4"/>
      <c r="F3" s="4"/>
      <c r="M3" s="2"/>
    </row>
    <row r="4" spans="2:25" s="5" customFormat="1" ht="27.75" customHeight="1" x14ac:dyDescent="0.25">
      <c r="B4" s="96" t="s">
        <v>0</v>
      </c>
      <c r="C4" s="93" t="s">
        <v>1</v>
      </c>
      <c r="D4" s="93" t="s">
        <v>2</v>
      </c>
      <c r="E4" s="93" t="s">
        <v>3</v>
      </c>
      <c r="F4" s="93"/>
      <c r="G4" s="94" t="s">
        <v>4</v>
      </c>
      <c r="M4" s="6"/>
    </row>
    <row r="5" spans="2:25" ht="25.5" customHeight="1" x14ac:dyDescent="0.25">
      <c r="B5" s="96"/>
      <c r="C5" s="93"/>
      <c r="D5" s="93"/>
      <c r="E5" s="7" t="s">
        <v>5</v>
      </c>
      <c r="F5" s="7" t="s">
        <v>6</v>
      </c>
      <c r="G5" s="95"/>
    </row>
    <row r="6" spans="2:25" ht="25.5" customHeight="1" x14ac:dyDescent="0.25">
      <c r="B6" s="9"/>
      <c r="C6" s="7"/>
      <c r="D6" s="10"/>
      <c r="E6" s="11"/>
      <c r="F6" s="11"/>
      <c r="G6" s="95"/>
    </row>
    <row r="7" spans="2:25" s="16" customFormat="1" ht="21" customHeight="1" x14ac:dyDescent="0.25">
      <c r="B7" s="12" t="s">
        <v>7</v>
      </c>
      <c r="C7" s="13" t="s">
        <v>8</v>
      </c>
      <c r="D7" s="14"/>
      <c r="E7" s="14"/>
      <c r="F7" s="14"/>
      <c r="G7" s="15"/>
      <c r="M7" s="17"/>
    </row>
    <row r="8" spans="2:25" s="17" customFormat="1" ht="27.75" customHeight="1" x14ac:dyDescent="0.25">
      <c r="B8" s="7" t="s">
        <v>10</v>
      </c>
      <c r="C8" s="18" t="s">
        <v>11</v>
      </c>
      <c r="D8" s="7"/>
      <c r="E8" s="22"/>
      <c r="F8" s="22"/>
      <c r="G8" s="98" t="s">
        <v>12</v>
      </c>
      <c r="H8" s="24"/>
      <c r="I8" s="25"/>
      <c r="J8" s="25"/>
      <c r="K8" s="25"/>
      <c r="L8" s="25"/>
    </row>
    <row r="9" spans="2:25" s="8" customFormat="1" ht="12.75" customHeight="1" x14ac:dyDescent="0.25">
      <c r="B9" s="7" t="s">
        <v>13</v>
      </c>
      <c r="C9" s="26" t="s">
        <v>14</v>
      </c>
      <c r="D9" s="7" t="s">
        <v>9</v>
      </c>
      <c r="E9" s="23">
        <f>0.54808*1000</f>
        <v>548.08000000000004</v>
      </c>
      <c r="F9" s="23">
        <f>0.72808*1000</f>
        <v>728.07999999999993</v>
      </c>
      <c r="G9" s="98"/>
      <c r="H9" s="27"/>
      <c r="I9" s="21"/>
      <c r="J9" s="21"/>
      <c r="K9" s="21"/>
      <c r="L9" s="21"/>
    </row>
    <row r="10" spans="2:25" s="8" customFormat="1" x14ac:dyDescent="0.25">
      <c r="B10" s="7" t="s">
        <v>15</v>
      </c>
      <c r="C10" s="26" t="s">
        <v>16</v>
      </c>
      <c r="D10" s="7" t="s">
        <v>9</v>
      </c>
      <c r="E10" s="23">
        <f>0.45389*1000</f>
        <v>453.89000000000004</v>
      </c>
      <c r="F10" s="23">
        <f>0.45389*1000</f>
        <v>453.89000000000004</v>
      </c>
      <c r="G10" s="98"/>
      <c r="H10" s="21"/>
      <c r="I10" s="21"/>
      <c r="J10" s="21"/>
      <c r="K10" s="21"/>
      <c r="L10" s="21"/>
    </row>
    <row r="11" spans="2:25" s="8" customFormat="1" x14ac:dyDescent="0.25">
      <c r="B11" s="7" t="s">
        <v>17</v>
      </c>
      <c r="C11" s="26" t="s">
        <v>18</v>
      </c>
      <c r="D11" s="7"/>
      <c r="E11" s="23"/>
      <c r="F11" s="23"/>
      <c r="G11" s="98"/>
      <c r="H11" s="21"/>
      <c r="I11" s="21"/>
      <c r="J11" s="21"/>
      <c r="K11" s="21"/>
      <c r="L11" s="21"/>
    </row>
    <row r="12" spans="2:25" s="8" customFormat="1" x14ac:dyDescent="0.25">
      <c r="B12" s="7"/>
      <c r="C12" s="29" t="s">
        <v>19</v>
      </c>
      <c r="D12" s="7" t="s">
        <v>9</v>
      </c>
      <c r="E12" s="90">
        <f>0.6508*1000</f>
        <v>650.80000000000007</v>
      </c>
      <c r="F12" s="91">
        <f>0.9052*1000</f>
        <v>905.2</v>
      </c>
      <c r="G12" s="98"/>
      <c r="H12" s="21"/>
      <c r="I12" s="21"/>
      <c r="J12" s="21"/>
      <c r="K12" s="21"/>
      <c r="L12" s="21"/>
    </row>
    <row r="13" spans="2:25" s="8" customFormat="1" x14ac:dyDescent="0.25">
      <c r="B13" s="7"/>
      <c r="C13" s="29" t="s">
        <v>20</v>
      </c>
      <c r="D13" s="7" t="s">
        <v>9</v>
      </c>
      <c r="E13" s="90"/>
      <c r="F13" s="92"/>
      <c r="G13" s="98"/>
      <c r="H13" s="21"/>
      <c r="I13" s="21"/>
      <c r="J13" s="21"/>
      <c r="K13" s="21"/>
      <c r="L13" s="21"/>
    </row>
    <row r="14" spans="2:25" s="8" customFormat="1" x14ac:dyDescent="0.25">
      <c r="B14" s="7"/>
      <c r="C14" s="29" t="s">
        <v>21</v>
      </c>
      <c r="D14" s="7" t="s">
        <v>9</v>
      </c>
      <c r="E14" s="30">
        <f>0.21769*1000</f>
        <v>217.69</v>
      </c>
      <c r="F14" s="30">
        <f>0.30181*1000</f>
        <v>301.81</v>
      </c>
      <c r="G14" s="98"/>
      <c r="H14" s="21"/>
      <c r="I14" s="21"/>
      <c r="J14" s="21"/>
      <c r="K14" s="21"/>
      <c r="L14" s="21"/>
    </row>
    <row r="15" spans="2:25" s="8" customFormat="1" x14ac:dyDescent="0.25">
      <c r="B15" s="7"/>
      <c r="C15" s="29" t="s">
        <v>22</v>
      </c>
      <c r="D15" s="10" t="s">
        <v>9</v>
      </c>
      <c r="E15" s="31">
        <f>0.21769*1000</f>
        <v>217.69</v>
      </c>
      <c r="F15" s="31">
        <f>0.30181*1000</f>
        <v>301.81</v>
      </c>
      <c r="G15" s="98"/>
      <c r="H15" s="21"/>
      <c r="I15" s="21"/>
      <c r="J15" s="21"/>
      <c r="K15" s="21"/>
      <c r="L15" s="21"/>
    </row>
    <row r="16" spans="2:25" s="16" customFormat="1" ht="21" customHeight="1" x14ac:dyDescent="0.25">
      <c r="B16" s="12" t="s">
        <v>23</v>
      </c>
      <c r="C16" s="32" t="s">
        <v>24</v>
      </c>
      <c r="D16" s="33"/>
      <c r="E16" s="33"/>
      <c r="F16" s="33"/>
      <c r="G16" s="34"/>
      <c r="H16" s="24"/>
      <c r="I16" s="25"/>
      <c r="J16" s="25"/>
      <c r="K16" s="25"/>
      <c r="L16" s="25"/>
      <c r="M16" s="17"/>
    </row>
    <row r="17" spans="2:13" s="8" customFormat="1" ht="39.6" x14ac:dyDescent="0.25">
      <c r="B17" s="7" t="s">
        <v>25</v>
      </c>
      <c r="C17" s="18" t="s">
        <v>26</v>
      </c>
      <c r="D17" s="35" t="s">
        <v>9</v>
      </c>
      <c r="E17" s="36">
        <v>0.47099999999999997</v>
      </c>
      <c r="F17" s="36">
        <v>0.51900000000000002</v>
      </c>
      <c r="G17" s="37" t="s">
        <v>122</v>
      </c>
      <c r="H17" s="38"/>
      <c r="I17" s="39"/>
      <c r="J17" s="21"/>
      <c r="K17" s="21"/>
      <c r="L17" s="21"/>
    </row>
    <row r="18" spans="2:13" s="8" customFormat="1" ht="39.6" x14ac:dyDescent="0.25">
      <c r="B18" s="7" t="s">
        <v>27</v>
      </c>
      <c r="C18" s="18" t="s">
        <v>28</v>
      </c>
      <c r="D18" s="40" t="s">
        <v>9</v>
      </c>
      <c r="E18" s="42">
        <v>1.962</v>
      </c>
      <c r="F18" s="41">
        <v>2.1909999999999998</v>
      </c>
      <c r="G18" s="37" t="s">
        <v>29</v>
      </c>
      <c r="H18" s="27"/>
      <c r="I18" s="43"/>
      <c r="J18" s="21"/>
      <c r="K18" s="21"/>
      <c r="L18" s="21"/>
    </row>
    <row r="19" spans="2:13" s="8" customFormat="1" ht="39.6" x14ac:dyDescent="0.25">
      <c r="B19" s="7" t="s">
        <v>30</v>
      </c>
      <c r="C19" s="18" t="s">
        <v>31</v>
      </c>
      <c r="D19" s="44" t="s">
        <v>9</v>
      </c>
      <c r="E19" s="46">
        <v>2.3780000000000001</v>
      </c>
      <c r="F19" s="45">
        <v>2.653</v>
      </c>
      <c r="G19" s="37" t="s">
        <v>32</v>
      </c>
      <c r="H19" s="27"/>
      <c r="I19" s="43"/>
      <c r="J19" s="21"/>
      <c r="K19" s="21"/>
      <c r="L19" s="21"/>
    </row>
    <row r="20" spans="2:13" s="16" customFormat="1" ht="21" customHeight="1" x14ac:dyDescent="0.25">
      <c r="B20" s="12" t="s">
        <v>33</v>
      </c>
      <c r="C20" s="13" t="s">
        <v>34</v>
      </c>
      <c r="D20" s="14"/>
      <c r="E20" s="14"/>
      <c r="F20" s="14"/>
      <c r="G20" s="15"/>
      <c r="H20" s="25"/>
      <c r="I20" s="25"/>
      <c r="J20" s="25"/>
      <c r="K20" s="25"/>
      <c r="L20" s="25"/>
      <c r="M20" s="17"/>
    </row>
    <row r="21" spans="2:13" ht="25.5" customHeight="1" x14ac:dyDescent="0.25">
      <c r="B21" s="7" t="s">
        <v>35</v>
      </c>
      <c r="C21" s="18" t="s">
        <v>36</v>
      </c>
      <c r="D21" s="47"/>
      <c r="E21" s="48"/>
      <c r="F21" s="48"/>
      <c r="G21" s="49"/>
      <c r="H21" s="24"/>
      <c r="I21" s="21"/>
      <c r="J21" s="21"/>
      <c r="K21" s="21"/>
      <c r="L21" s="21"/>
    </row>
    <row r="22" spans="2:13" s="8" customFormat="1" x14ac:dyDescent="0.25">
      <c r="B22" s="7" t="s">
        <v>37</v>
      </c>
      <c r="C22" s="26" t="s">
        <v>14</v>
      </c>
      <c r="D22" s="40"/>
      <c r="E22" s="28"/>
      <c r="F22" s="28"/>
      <c r="G22" s="50"/>
      <c r="H22" s="27"/>
      <c r="I22" s="21"/>
      <c r="J22" s="21"/>
      <c r="K22" s="21"/>
      <c r="L22" s="21"/>
    </row>
    <row r="23" spans="2:13" s="8" customFormat="1" ht="38.25" customHeight="1" x14ac:dyDescent="0.25">
      <c r="B23" s="7"/>
      <c r="C23" s="29" t="s">
        <v>38</v>
      </c>
      <c r="D23" s="40" t="s">
        <v>9</v>
      </c>
      <c r="E23" s="51">
        <v>2227.73</v>
      </c>
      <c r="F23" s="51">
        <v>2455.87</v>
      </c>
      <c r="G23" s="99" t="s">
        <v>39</v>
      </c>
      <c r="H23" s="21"/>
      <c r="I23" s="21"/>
      <c r="J23" s="21"/>
      <c r="K23" s="21"/>
      <c r="L23" s="21"/>
    </row>
    <row r="24" spans="2:13" s="8" customFormat="1" x14ac:dyDescent="0.25">
      <c r="B24" s="7"/>
      <c r="C24" s="29" t="s">
        <v>40</v>
      </c>
      <c r="D24" s="40" t="s">
        <v>9</v>
      </c>
      <c r="E24" s="52">
        <v>833.21999999999991</v>
      </c>
      <c r="F24" s="52">
        <v>891.62</v>
      </c>
      <c r="G24" s="100"/>
      <c r="H24" s="86"/>
      <c r="I24" s="86"/>
      <c r="J24" s="86"/>
      <c r="K24" s="86"/>
      <c r="L24" s="86"/>
    </row>
    <row r="25" spans="2:13" s="8" customFormat="1" x14ac:dyDescent="0.25">
      <c r="B25" s="7"/>
      <c r="C25" s="29" t="s">
        <v>41</v>
      </c>
      <c r="D25" s="40" t="s">
        <v>9</v>
      </c>
      <c r="E25" s="52">
        <v>862.22</v>
      </c>
      <c r="F25" s="52">
        <v>949.13</v>
      </c>
      <c r="G25" s="100"/>
      <c r="H25" s="53"/>
      <c r="I25" s="53"/>
      <c r="J25" s="53"/>
      <c r="K25" s="53"/>
      <c r="L25" s="53"/>
    </row>
    <row r="26" spans="2:13" s="8" customFormat="1" x14ac:dyDescent="0.25">
      <c r="B26" s="7"/>
      <c r="C26" s="29" t="s">
        <v>42</v>
      </c>
      <c r="D26" s="40" t="s">
        <v>9</v>
      </c>
      <c r="E26" s="52">
        <v>836.6</v>
      </c>
      <c r="F26" s="52">
        <v>922.31</v>
      </c>
      <c r="G26" s="100"/>
      <c r="H26" s="53"/>
      <c r="I26" s="53"/>
      <c r="J26" s="53"/>
      <c r="K26" s="53"/>
      <c r="L26" s="53"/>
    </row>
    <row r="27" spans="2:13" s="8" customFormat="1" x14ac:dyDescent="0.25">
      <c r="B27" s="7"/>
      <c r="C27" s="29" t="s">
        <v>43</v>
      </c>
      <c r="D27" s="40" t="s">
        <v>9</v>
      </c>
      <c r="E27" s="52">
        <v>831.67000000000007</v>
      </c>
      <c r="F27" s="52">
        <v>876.52</v>
      </c>
      <c r="G27" s="100"/>
      <c r="H27" s="21"/>
      <c r="I27" s="21"/>
      <c r="J27" s="21"/>
      <c r="K27" s="21"/>
      <c r="L27" s="21"/>
    </row>
    <row r="28" spans="2:13" s="8" customFormat="1" x14ac:dyDescent="0.25">
      <c r="B28" s="7"/>
      <c r="C28" s="29" t="s">
        <v>44</v>
      </c>
      <c r="D28" s="40" t="s">
        <v>9</v>
      </c>
      <c r="E28" s="52">
        <v>834.11</v>
      </c>
      <c r="F28" s="52">
        <v>898.71</v>
      </c>
      <c r="G28" s="100"/>
      <c r="H28" s="21"/>
      <c r="I28" s="21"/>
      <c r="J28" s="21"/>
      <c r="K28" s="21"/>
      <c r="L28" s="21"/>
    </row>
    <row r="29" spans="2:13" s="8" customFormat="1" x14ac:dyDescent="0.25">
      <c r="B29" s="7"/>
      <c r="C29" s="29" t="s">
        <v>45</v>
      </c>
      <c r="D29" s="40" t="s">
        <v>9</v>
      </c>
      <c r="E29" s="52" t="s">
        <v>46</v>
      </c>
      <c r="F29" s="52" t="s">
        <v>46</v>
      </c>
      <c r="G29" s="100"/>
      <c r="H29" s="21"/>
      <c r="I29" s="21"/>
      <c r="J29" s="21"/>
      <c r="K29" s="21"/>
      <c r="L29" s="21"/>
    </row>
    <row r="30" spans="2:13" s="8" customFormat="1" ht="18" customHeight="1" x14ac:dyDescent="0.25">
      <c r="B30" s="7"/>
      <c r="C30" s="54" t="s">
        <v>47</v>
      </c>
      <c r="D30" s="40" t="s">
        <v>9</v>
      </c>
      <c r="E30" s="52">
        <v>2238.71</v>
      </c>
      <c r="F30" s="52">
        <v>2447.1999999999998</v>
      </c>
      <c r="G30" s="100"/>
      <c r="H30" s="21"/>
      <c r="I30" s="55"/>
      <c r="J30" s="87"/>
      <c r="K30" s="21"/>
      <c r="L30" s="21"/>
    </row>
    <row r="31" spans="2:13" s="8" customFormat="1" x14ac:dyDescent="0.25">
      <c r="B31" s="7"/>
      <c r="C31" s="29" t="s">
        <v>48</v>
      </c>
      <c r="D31" s="40" t="s">
        <v>9</v>
      </c>
      <c r="E31" s="52">
        <v>2278.9199999999996</v>
      </c>
      <c r="F31" s="52">
        <v>2516.35</v>
      </c>
      <c r="G31" s="100"/>
      <c r="H31" s="21"/>
      <c r="I31" s="55"/>
      <c r="J31" s="87"/>
      <c r="K31" s="21"/>
      <c r="L31" s="21"/>
    </row>
    <row r="32" spans="2:13" s="8" customFormat="1" ht="26.4" x14ac:dyDescent="0.25">
      <c r="B32" s="7"/>
      <c r="C32" s="29" t="s">
        <v>49</v>
      </c>
      <c r="D32" s="40" t="s">
        <v>9</v>
      </c>
      <c r="E32" s="52">
        <v>2236.35</v>
      </c>
      <c r="F32" s="52">
        <v>2475.88</v>
      </c>
      <c r="G32" s="100"/>
      <c r="H32" s="21"/>
      <c r="I32" s="55"/>
      <c r="J32" s="87"/>
      <c r="K32" s="21"/>
      <c r="L32" s="21"/>
    </row>
    <row r="33" spans="2:12" s="8" customFormat="1" ht="52.8" x14ac:dyDescent="0.25">
      <c r="B33" s="56" t="s">
        <v>50</v>
      </c>
      <c r="C33" s="57" t="s">
        <v>51</v>
      </c>
      <c r="D33" s="58"/>
      <c r="F33" s="52"/>
      <c r="G33" s="100"/>
      <c r="H33" s="21"/>
      <c r="I33" s="55"/>
      <c r="J33" s="59"/>
      <c r="K33" s="21"/>
      <c r="L33" s="21"/>
    </row>
    <row r="34" spans="2:12" s="8" customFormat="1" ht="38.25" customHeight="1" x14ac:dyDescent="0.25">
      <c r="B34" s="56"/>
      <c r="C34" s="60" t="s">
        <v>38</v>
      </c>
      <c r="D34" s="56" t="s">
        <v>9</v>
      </c>
      <c r="E34" s="51">
        <f>2.22773*1000</f>
        <v>2227.73</v>
      </c>
      <c r="F34" s="52">
        <f>2.45587*1000</f>
        <v>2455.87</v>
      </c>
      <c r="G34" s="100"/>
      <c r="H34" s="21"/>
      <c r="I34" s="55"/>
      <c r="J34" s="59"/>
      <c r="K34" s="21"/>
      <c r="L34" s="21"/>
    </row>
    <row r="35" spans="2:12" s="8" customFormat="1" x14ac:dyDescent="0.25">
      <c r="B35" s="56"/>
      <c r="C35" s="29" t="s">
        <v>40</v>
      </c>
      <c r="D35" s="56" t="s">
        <v>9</v>
      </c>
      <c r="E35" s="52">
        <f>0.83322*1000</f>
        <v>833.21999999999991</v>
      </c>
      <c r="F35" s="52">
        <f>0.89162*1000</f>
        <v>891.62</v>
      </c>
      <c r="G35" s="100"/>
      <c r="H35" s="21"/>
      <c r="I35" s="55"/>
      <c r="J35" s="59"/>
      <c r="K35" s="21"/>
      <c r="L35" s="21"/>
    </row>
    <row r="36" spans="2:12" s="8" customFormat="1" x14ac:dyDescent="0.25">
      <c r="B36" s="56"/>
      <c r="C36" s="29" t="s">
        <v>41</v>
      </c>
      <c r="D36" s="56" t="s">
        <v>9</v>
      </c>
      <c r="E36" s="52">
        <f>0.86222*1000</f>
        <v>862.22</v>
      </c>
      <c r="F36" s="52">
        <f>0.94913*1000</f>
        <v>949.13</v>
      </c>
      <c r="G36" s="100"/>
      <c r="H36" s="21"/>
      <c r="I36" s="55"/>
      <c r="J36" s="59"/>
      <c r="K36" s="21"/>
      <c r="L36" s="21"/>
    </row>
    <row r="37" spans="2:12" s="8" customFormat="1" x14ac:dyDescent="0.25">
      <c r="B37" s="56"/>
      <c r="C37" s="29" t="s">
        <v>42</v>
      </c>
      <c r="D37" s="56" t="s">
        <v>9</v>
      </c>
      <c r="E37" s="52">
        <f>0.8366*1000</f>
        <v>836.6</v>
      </c>
      <c r="F37" s="52">
        <f>0.92231*1000</f>
        <v>922.31</v>
      </c>
      <c r="G37" s="100"/>
      <c r="H37" s="21"/>
      <c r="I37" s="55"/>
      <c r="J37" s="59"/>
      <c r="K37" s="21"/>
      <c r="L37" s="21"/>
    </row>
    <row r="38" spans="2:12" s="8" customFormat="1" x14ac:dyDescent="0.25">
      <c r="B38" s="56"/>
      <c r="C38" s="60" t="s">
        <v>43</v>
      </c>
      <c r="D38" s="56" t="s">
        <v>9</v>
      </c>
      <c r="E38" s="52">
        <f>0.83167*1000</f>
        <v>831.67000000000007</v>
      </c>
      <c r="F38" s="52">
        <f>0.87652*1000</f>
        <v>876.52</v>
      </c>
      <c r="G38" s="100"/>
      <c r="H38" s="21"/>
      <c r="I38" s="55"/>
      <c r="J38" s="59"/>
      <c r="K38" s="21"/>
      <c r="L38" s="21"/>
    </row>
    <row r="39" spans="2:12" s="8" customFormat="1" x14ac:dyDescent="0.25">
      <c r="B39" s="56"/>
      <c r="C39" s="29" t="s">
        <v>44</v>
      </c>
      <c r="D39" s="56" t="s">
        <v>9</v>
      </c>
      <c r="E39" s="52">
        <f>0.83411*1000</f>
        <v>834.11</v>
      </c>
      <c r="F39" s="52">
        <f>0.89871*1000</f>
        <v>898.71</v>
      </c>
      <c r="G39" s="100"/>
      <c r="H39" s="21"/>
      <c r="I39" s="55"/>
      <c r="J39" s="59"/>
      <c r="K39" s="21"/>
      <c r="L39" s="21"/>
    </row>
    <row r="40" spans="2:12" s="8" customFormat="1" x14ac:dyDescent="0.25">
      <c r="B40" s="56"/>
      <c r="C40" s="29" t="s">
        <v>52</v>
      </c>
      <c r="D40" s="56" t="s">
        <v>9</v>
      </c>
      <c r="E40" s="61" t="s">
        <v>46</v>
      </c>
      <c r="F40" s="61" t="s">
        <v>46</v>
      </c>
      <c r="G40" s="100"/>
      <c r="H40" s="21"/>
      <c r="I40" s="55"/>
      <c r="J40" s="59"/>
      <c r="K40" s="21"/>
      <c r="L40" s="21"/>
    </row>
    <row r="41" spans="2:12" s="8" customFormat="1" x14ac:dyDescent="0.25">
      <c r="B41" s="56"/>
      <c r="C41" s="54" t="s">
        <v>47</v>
      </c>
      <c r="D41" s="56" t="s">
        <v>9</v>
      </c>
      <c r="E41" s="52">
        <f>2.23871*1000</f>
        <v>2238.71</v>
      </c>
      <c r="F41" s="52">
        <f>2.4472*1000</f>
        <v>2447.1999999999998</v>
      </c>
      <c r="G41" s="100"/>
      <c r="H41" s="21"/>
      <c r="I41" s="55"/>
      <c r="J41" s="59"/>
      <c r="K41" s="21"/>
      <c r="L41" s="21"/>
    </row>
    <row r="42" spans="2:12" s="8" customFormat="1" x14ac:dyDescent="0.25">
      <c r="B42" s="56"/>
      <c r="C42" s="29" t="s">
        <v>48</v>
      </c>
      <c r="D42" s="56" t="s">
        <v>9</v>
      </c>
      <c r="E42" s="52">
        <f>2.27892*1000</f>
        <v>2278.9199999999996</v>
      </c>
      <c r="F42" s="52">
        <f>2.51635*1000</f>
        <v>2516.35</v>
      </c>
      <c r="G42" s="100"/>
      <c r="H42" s="21"/>
      <c r="I42" s="55"/>
      <c r="J42" s="59"/>
      <c r="K42" s="21"/>
      <c r="L42" s="21"/>
    </row>
    <row r="43" spans="2:12" s="8" customFormat="1" ht="26.4" x14ac:dyDescent="0.25">
      <c r="B43" s="56"/>
      <c r="C43" s="29" t="s">
        <v>49</v>
      </c>
      <c r="D43" s="56" t="s">
        <v>9</v>
      </c>
      <c r="E43" s="22">
        <f>2.23635*1000</f>
        <v>2236.35</v>
      </c>
      <c r="F43" s="22">
        <f>2.47588*1000</f>
        <v>2475.88</v>
      </c>
      <c r="G43" s="100"/>
      <c r="H43" s="21"/>
      <c r="I43" s="55"/>
      <c r="J43" s="59"/>
      <c r="K43" s="21"/>
      <c r="L43" s="21"/>
    </row>
    <row r="44" spans="2:12" s="8" customFormat="1" ht="52.8" x14ac:dyDescent="0.25">
      <c r="B44" s="56" t="s">
        <v>53</v>
      </c>
      <c r="C44" s="57" t="s">
        <v>54</v>
      </c>
      <c r="D44" s="56"/>
      <c r="E44" s="22"/>
      <c r="F44" s="22"/>
      <c r="G44" s="100"/>
      <c r="H44" s="21"/>
      <c r="I44" s="55"/>
      <c r="J44" s="59"/>
      <c r="K44" s="21"/>
      <c r="L44" s="21"/>
    </row>
    <row r="45" spans="2:12" s="8" customFormat="1" x14ac:dyDescent="0.25">
      <c r="B45" s="56"/>
      <c r="C45" s="60" t="s">
        <v>38</v>
      </c>
      <c r="D45" s="56" t="s">
        <v>9</v>
      </c>
      <c r="E45" s="22">
        <f>2.29115*1000</f>
        <v>2291.15</v>
      </c>
      <c r="F45" s="22">
        <f>4.97794*1000</f>
        <v>4977.9400000000005</v>
      </c>
      <c r="G45" s="100"/>
      <c r="H45" s="21"/>
      <c r="I45" s="62"/>
      <c r="J45" s="59"/>
      <c r="K45" s="21"/>
      <c r="L45" s="21"/>
    </row>
    <row r="46" spans="2:12" s="8" customFormat="1" x14ac:dyDescent="0.25">
      <c r="B46" s="56"/>
      <c r="C46" s="29" t="s">
        <v>40</v>
      </c>
      <c r="D46" s="56" t="s">
        <v>9</v>
      </c>
      <c r="E46" s="22">
        <f>0.85166*1000</f>
        <v>851.66</v>
      </c>
      <c r="F46" s="22">
        <f>2.58785*1000</f>
        <v>2587.85</v>
      </c>
      <c r="G46" s="100"/>
      <c r="H46" s="21"/>
      <c r="I46" s="62"/>
      <c r="J46" s="59"/>
      <c r="K46" s="21"/>
      <c r="L46" s="21"/>
    </row>
    <row r="47" spans="2:12" s="8" customFormat="1" x14ac:dyDescent="0.25">
      <c r="B47" s="56"/>
      <c r="C47" s="29" t="s">
        <v>41</v>
      </c>
      <c r="D47" s="56" t="s">
        <v>9</v>
      </c>
      <c r="E47" s="22">
        <f>0.91138*1000</f>
        <v>911.38</v>
      </c>
      <c r="F47" s="22">
        <f>2.72756*1000</f>
        <v>2727.56</v>
      </c>
      <c r="G47" s="100"/>
      <c r="H47" s="21"/>
      <c r="I47" s="62"/>
      <c r="J47" s="59"/>
      <c r="K47" s="21"/>
      <c r="L47" s="21"/>
    </row>
    <row r="48" spans="2:12" s="8" customFormat="1" x14ac:dyDescent="0.25">
      <c r="B48" s="56"/>
      <c r="C48" s="29" t="s">
        <v>42</v>
      </c>
      <c r="D48" s="56" t="s">
        <v>9</v>
      </c>
      <c r="E48" s="22">
        <f>0.85522*1000</f>
        <v>855.22</v>
      </c>
      <c r="F48" s="22">
        <f>2.60909*1000</f>
        <v>2609.09</v>
      </c>
      <c r="G48" s="100"/>
      <c r="H48" s="21"/>
      <c r="I48" s="62"/>
      <c r="J48" s="59"/>
      <c r="K48" s="21"/>
      <c r="L48" s="21"/>
    </row>
    <row r="49" spans="2:12" s="8" customFormat="1" x14ac:dyDescent="0.25">
      <c r="B49" s="56"/>
      <c r="C49" s="60" t="s">
        <v>43</v>
      </c>
      <c r="D49" s="56" t="s">
        <v>9</v>
      </c>
      <c r="E49" s="22">
        <f>0.84374*1000</f>
        <v>843.74</v>
      </c>
      <c r="F49" s="22">
        <f>2.6013*1000</f>
        <v>2601.3000000000002</v>
      </c>
      <c r="G49" s="100"/>
      <c r="H49" s="21"/>
      <c r="I49" s="62"/>
      <c r="J49" s="59"/>
      <c r="K49" s="21"/>
      <c r="L49" s="21"/>
    </row>
    <row r="50" spans="2:12" s="8" customFormat="1" x14ac:dyDescent="0.25">
      <c r="B50" s="56"/>
      <c r="C50" s="29" t="s">
        <v>44</v>
      </c>
      <c r="D50" s="56" t="s">
        <v>9</v>
      </c>
      <c r="E50" s="22">
        <f>0.84199*1000</f>
        <v>841.99</v>
      </c>
      <c r="F50" s="22">
        <f>2.61875*1000</f>
        <v>2618.75</v>
      </c>
      <c r="G50" s="100"/>
      <c r="H50" s="21"/>
      <c r="I50" s="62"/>
      <c r="J50" s="59"/>
      <c r="K50" s="21"/>
      <c r="L50" s="21"/>
    </row>
    <row r="51" spans="2:12" s="8" customFormat="1" x14ac:dyDescent="0.25">
      <c r="B51" s="56"/>
      <c r="C51" s="29" t="s">
        <v>45</v>
      </c>
      <c r="D51" s="56" t="s">
        <v>9</v>
      </c>
      <c r="E51" s="61" t="s">
        <v>46</v>
      </c>
      <c r="F51" s="63" t="s">
        <v>46</v>
      </c>
      <c r="G51" s="100"/>
      <c r="H51" s="21"/>
      <c r="I51" s="62"/>
      <c r="J51" s="59"/>
      <c r="K51" s="21"/>
      <c r="L51" s="21"/>
    </row>
    <row r="52" spans="2:12" s="8" customFormat="1" x14ac:dyDescent="0.25">
      <c r="B52" s="56"/>
      <c r="C52" s="54" t="s">
        <v>47</v>
      </c>
      <c r="D52" s="56" t="s">
        <v>9</v>
      </c>
      <c r="E52" s="22">
        <f>2.24704*1000</f>
        <v>2247.04</v>
      </c>
      <c r="F52" s="22">
        <f>4.90555*1000</f>
        <v>4905.55</v>
      </c>
      <c r="G52" s="100"/>
      <c r="H52" s="21"/>
      <c r="I52" s="62"/>
      <c r="J52" s="59"/>
      <c r="K52" s="21"/>
      <c r="L52" s="21"/>
    </row>
    <row r="53" spans="2:12" s="8" customFormat="1" x14ac:dyDescent="0.25">
      <c r="B53" s="56"/>
      <c r="C53" s="29" t="s">
        <v>48</v>
      </c>
      <c r="D53" s="56" t="s">
        <v>9</v>
      </c>
      <c r="E53" s="22">
        <f>2.28714*1000</f>
        <v>2287.14</v>
      </c>
      <c r="F53" s="22">
        <f>4.97853*1000</f>
        <v>4978.53</v>
      </c>
      <c r="G53" s="100"/>
      <c r="H53" s="21"/>
      <c r="I53" s="62"/>
      <c r="J53" s="59"/>
      <c r="K53" s="21"/>
      <c r="L53" s="21"/>
    </row>
    <row r="54" spans="2:12" s="8" customFormat="1" ht="26.4" x14ac:dyDescent="0.25">
      <c r="B54" s="56"/>
      <c r="C54" s="29" t="s">
        <v>49</v>
      </c>
      <c r="D54" s="56" t="s">
        <v>9</v>
      </c>
      <c r="E54" s="22">
        <f>2.24447*1000</f>
        <v>2244.4700000000003</v>
      </c>
      <c r="F54" s="22">
        <f>4.92865*1000</f>
        <v>4928.6500000000005</v>
      </c>
      <c r="G54" s="100"/>
      <c r="H54" s="21"/>
      <c r="I54" s="62"/>
      <c r="J54" s="59"/>
      <c r="K54" s="21"/>
      <c r="L54" s="21"/>
    </row>
    <row r="55" spans="2:12" s="8" customFormat="1" ht="52.8" x14ac:dyDescent="0.25">
      <c r="B55" s="56" t="s">
        <v>55</v>
      </c>
      <c r="C55" s="57" t="s">
        <v>56</v>
      </c>
      <c r="D55" s="56"/>
      <c r="E55" s="22"/>
      <c r="F55" s="22"/>
      <c r="G55" s="100"/>
      <c r="H55" s="21"/>
      <c r="I55" s="55"/>
      <c r="J55" s="59"/>
      <c r="K55" s="21"/>
      <c r="L55" s="21"/>
    </row>
    <row r="56" spans="2:12" s="8" customFormat="1" x14ac:dyDescent="0.25">
      <c r="B56" s="56"/>
      <c r="C56" s="60" t="s">
        <v>38</v>
      </c>
      <c r="D56" s="56"/>
      <c r="E56" s="22">
        <f>2.31476*1000</f>
        <v>2314.7600000000002</v>
      </c>
      <c r="F56" s="22">
        <f>6.39235*1000</f>
        <v>6392.35</v>
      </c>
      <c r="G56" s="100"/>
      <c r="H56" s="21"/>
      <c r="I56" s="55"/>
      <c r="J56" s="59"/>
      <c r="K56" s="21"/>
      <c r="L56" s="21"/>
    </row>
    <row r="57" spans="2:12" s="8" customFormat="1" x14ac:dyDescent="0.25">
      <c r="B57" s="56"/>
      <c r="C57" s="29" t="s">
        <v>40</v>
      </c>
      <c r="D57" s="56"/>
      <c r="E57" s="22">
        <f>0.8707*1000</f>
        <v>870.7</v>
      </c>
      <c r="F57" s="22">
        <f>3.57031*1000</f>
        <v>3570.31</v>
      </c>
      <c r="G57" s="100"/>
      <c r="H57" s="21"/>
      <c r="I57" s="55"/>
      <c r="J57" s="59"/>
      <c r="K57" s="21"/>
      <c r="L57" s="21"/>
    </row>
    <row r="58" spans="2:12" s="8" customFormat="1" x14ac:dyDescent="0.25">
      <c r="B58" s="56"/>
      <c r="C58" s="29" t="s">
        <v>41</v>
      </c>
      <c r="D58" s="56"/>
      <c r="E58" s="22">
        <f>0.93507*1000</f>
        <v>935.06999999999994</v>
      </c>
      <c r="F58" s="22">
        <f>3.71263*1000</f>
        <v>3712.6299999999997</v>
      </c>
      <c r="G58" s="100"/>
      <c r="H58" s="21"/>
      <c r="I58" s="55"/>
      <c r="J58" s="59"/>
      <c r="K58" s="21"/>
      <c r="L58" s="21"/>
    </row>
    <row r="59" spans="2:12" s="8" customFormat="1" x14ac:dyDescent="0.25">
      <c r="B59" s="56"/>
      <c r="C59" s="29" t="s">
        <v>42</v>
      </c>
      <c r="D59" s="56"/>
      <c r="E59" s="22">
        <f>0.88259*1000</f>
        <v>882.59</v>
      </c>
      <c r="F59" s="22">
        <f>3.58575*1000</f>
        <v>3585.75</v>
      </c>
      <c r="G59" s="100"/>
      <c r="H59" s="21"/>
      <c r="I59" s="55"/>
      <c r="J59" s="59"/>
      <c r="K59" s="21"/>
      <c r="L59" s="21"/>
    </row>
    <row r="60" spans="2:12" s="8" customFormat="1" x14ac:dyDescent="0.25">
      <c r="B60" s="56"/>
      <c r="C60" s="60" t="s">
        <v>43</v>
      </c>
      <c r="D60" s="56"/>
      <c r="E60" s="22">
        <f>0.86987*1000</f>
        <v>869.87</v>
      </c>
      <c r="F60" s="22">
        <f>3.58815*1000</f>
        <v>3588.15</v>
      </c>
      <c r="G60" s="100"/>
      <c r="H60" s="21"/>
      <c r="I60" s="55"/>
      <c r="J60" s="59"/>
      <c r="K60" s="21"/>
      <c r="L60" s="21"/>
    </row>
    <row r="61" spans="2:12" s="8" customFormat="1" x14ac:dyDescent="0.25">
      <c r="B61" s="56"/>
      <c r="C61" s="29" t="s">
        <v>44</v>
      </c>
      <c r="D61" s="56"/>
      <c r="E61" s="22">
        <f>0.84908*1000</f>
        <v>849.07999999999993</v>
      </c>
      <c r="F61" s="22">
        <f>3.59114*1000</f>
        <v>3591.1400000000003</v>
      </c>
      <c r="G61" s="100"/>
      <c r="H61" s="21"/>
      <c r="I61" s="55"/>
      <c r="J61" s="59"/>
      <c r="K61" s="21"/>
      <c r="L61" s="21"/>
    </row>
    <row r="62" spans="2:12" s="8" customFormat="1" x14ac:dyDescent="0.25">
      <c r="B62" s="56"/>
      <c r="C62" s="29" t="s">
        <v>45</v>
      </c>
      <c r="D62" s="56"/>
      <c r="E62" s="61" t="s">
        <v>46</v>
      </c>
      <c r="F62" s="22" t="s">
        <v>46</v>
      </c>
      <c r="G62" s="100"/>
      <c r="H62" s="21"/>
      <c r="I62" s="55"/>
      <c r="J62" s="59"/>
      <c r="K62" s="21"/>
      <c r="L62" s="21"/>
    </row>
    <row r="63" spans="2:12" s="8" customFormat="1" x14ac:dyDescent="0.25">
      <c r="B63" s="56"/>
      <c r="C63" s="54" t="s">
        <v>47</v>
      </c>
      <c r="D63" s="56"/>
      <c r="E63" s="22">
        <f>2.25537*1000</f>
        <v>2255.37</v>
      </c>
      <c r="F63" s="22">
        <f>6.29723*1000</f>
        <v>6297.23</v>
      </c>
      <c r="G63" s="100"/>
      <c r="H63" s="21"/>
      <c r="I63" s="55"/>
      <c r="J63" s="59"/>
      <c r="K63" s="21"/>
      <c r="L63" s="21"/>
    </row>
    <row r="64" spans="2:12" s="8" customFormat="1" x14ac:dyDescent="0.25">
      <c r="B64" s="56"/>
      <c r="C64" s="29" t="s">
        <v>48</v>
      </c>
      <c r="D64" s="56"/>
      <c r="E64" s="22">
        <f>2.29548*1000</f>
        <v>2295.48</v>
      </c>
      <c r="F64" s="22">
        <f>6.37198*1000</f>
        <v>6371.98</v>
      </c>
      <c r="G64" s="100"/>
      <c r="H64" s="21"/>
      <c r="I64" s="55"/>
      <c r="J64" s="59"/>
      <c r="K64" s="21"/>
      <c r="L64" s="21"/>
    </row>
    <row r="65" spans="2:12" s="8" customFormat="1" ht="26.4" x14ac:dyDescent="0.25">
      <c r="B65" s="56"/>
      <c r="C65" s="29" t="s">
        <v>49</v>
      </c>
      <c r="D65" s="56"/>
      <c r="E65" s="22">
        <f>2.25281*1000</f>
        <v>2252.8100000000004</v>
      </c>
      <c r="F65" s="22">
        <f>6.31682*1000</f>
        <v>6316.82</v>
      </c>
      <c r="G65" s="100"/>
      <c r="H65" s="21"/>
      <c r="I65" s="55"/>
      <c r="J65" s="59"/>
      <c r="K65" s="21"/>
      <c r="L65" s="21"/>
    </row>
    <row r="66" spans="2:12" s="8" customFormat="1" ht="25.5" customHeight="1" x14ac:dyDescent="0.25">
      <c r="B66" s="7" t="s">
        <v>57</v>
      </c>
      <c r="C66" s="26" t="s">
        <v>58</v>
      </c>
      <c r="D66" s="40"/>
      <c r="E66" s="22"/>
      <c r="F66" s="22"/>
      <c r="G66" s="100"/>
      <c r="H66" s="21"/>
      <c r="I66" s="55"/>
      <c r="J66" s="55"/>
      <c r="K66" s="21"/>
      <c r="L66" s="21"/>
    </row>
    <row r="67" spans="2:12" s="8" customFormat="1" x14ac:dyDescent="0.25">
      <c r="B67" s="7"/>
      <c r="C67" s="29" t="s">
        <v>59</v>
      </c>
      <c r="D67" s="40" t="s">
        <v>9</v>
      </c>
      <c r="E67" s="23">
        <f>1.4143*1000</f>
        <v>1414.3</v>
      </c>
      <c r="F67" s="22">
        <f>1.7422*1000</f>
        <v>1742.2</v>
      </c>
      <c r="G67" s="100"/>
      <c r="H67" s="21"/>
      <c r="I67" s="64"/>
      <c r="J67" s="65"/>
      <c r="K67" s="21"/>
      <c r="L67" s="21"/>
    </row>
    <row r="68" spans="2:12" s="8" customFormat="1" x14ac:dyDescent="0.25">
      <c r="B68" s="7"/>
      <c r="C68" s="29" t="s">
        <v>60</v>
      </c>
      <c r="D68" s="40" t="s">
        <v>9</v>
      </c>
      <c r="E68" s="23">
        <f>2.48922*1000</f>
        <v>2489.2199999999998</v>
      </c>
      <c r="F68" s="22">
        <f>3.02052*1000</f>
        <v>3020.52</v>
      </c>
      <c r="G68" s="100"/>
      <c r="H68" s="21"/>
      <c r="I68" s="64"/>
      <c r="J68" s="65"/>
      <c r="K68" s="21"/>
      <c r="L68" s="21"/>
    </row>
    <row r="69" spans="2:12" s="8" customFormat="1" x14ac:dyDescent="0.25">
      <c r="B69" s="7"/>
      <c r="C69" s="29" t="s">
        <v>61</v>
      </c>
      <c r="D69" s="40" t="s">
        <v>9</v>
      </c>
      <c r="E69" s="23">
        <f>3.76947*1000</f>
        <v>3769.4700000000003</v>
      </c>
      <c r="F69" s="22">
        <f>4.59841*1000</f>
        <v>4598.4100000000008</v>
      </c>
      <c r="G69" s="100"/>
      <c r="H69" s="21"/>
      <c r="I69" s="64"/>
      <c r="J69" s="65"/>
      <c r="K69" s="21"/>
      <c r="L69" s="21"/>
    </row>
    <row r="70" spans="2:12" s="8" customFormat="1" x14ac:dyDescent="0.25">
      <c r="B70" s="7"/>
      <c r="C70" s="29" t="s">
        <v>62</v>
      </c>
      <c r="D70" s="40" t="s">
        <v>9</v>
      </c>
      <c r="E70" s="23">
        <f>4.78626*1000</f>
        <v>4786.26</v>
      </c>
      <c r="F70" s="22">
        <f>6.19526*1000</f>
        <v>6195.26</v>
      </c>
      <c r="G70" s="100"/>
      <c r="H70" s="21"/>
      <c r="I70" s="64"/>
      <c r="J70" s="65"/>
      <c r="K70" s="21"/>
      <c r="L70" s="21"/>
    </row>
    <row r="71" spans="2:12" s="8" customFormat="1" ht="26.4" x14ac:dyDescent="0.25">
      <c r="B71" s="7" t="s">
        <v>63</v>
      </c>
      <c r="C71" s="18" t="s">
        <v>64</v>
      </c>
      <c r="D71" s="40"/>
      <c r="E71" s="22"/>
      <c r="F71" s="22"/>
      <c r="G71" s="100"/>
      <c r="H71" s="27"/>
      <c r="I71" s="55"/>
      <c r="J71" s="65"/>
      <c r="K71" s="21"/>
      <c r="L71" s="21"/>
    </row>
    <row r="72" spans="2:12" s="8" customFormat="1" ht="14.25" customHeight="1" x14ac:dyDescent="0.25">
      <c r="B72" s="7" t="s">
        <v>65</v>
      </c>
      <c r="C72" s="26" t="s">
        <v>66</v>
      </c>
      <c r="D72" s="40"/>
      <c r="E72" s="22"/>
      <c r="F72" s="22"/>
      <c r="G72" s="100"/>
      <c r="H72" s="21"/>
      <c r="I72" s="55"/>
      <c r="J72" s="65"/>
      <c r="K72" s="21"/>
      <c r="L72" s="21"/>
    </row>
    <row r="73" spans="2:12" s="8" customFormat="1" x14ac:dyDescent="0.25">
      <c r="B73" s="7"/>
      <c r="C73" s="29" t="s">
        <v>59</v>
      </c>
      <c r="D73" s="40" t="s">
        <v>67</v>
      </c>
      <c r="E73" s="67">
        <v>759560.27</v>
      </c>
      <c r="F73" s="67">
        <v>934521.6</v>
      </c>
      <c r="G73" s="100"/>
      <c r="H73" s="21"/>
      <c r="I73" s="68"/>
      <c r="J73" s="65"/>
      <c r="K73" s="21"/>
      <c r="L73" s="21"/>
    </row>
    <row r="74" spans="2:12" s="8" customFormat="1" x14ac:dyDescent="0.25">
      <c r="B74" s="7"/>
      <c r="C74" s="29" t="s">
        <v>60</v>
      </c>
      <c r="D74" s="40" t="s">
        <v>67</v>
      </c>
      <c r="E74" s="67">
        <v>1266643.74</v>
      </c>
      <c r="F74" s="67">
        <v>1531756.7</v>
      </c>
      <c r="G74" s="100"/>
      <c r="H74" s="21"/>
      <c r="I74" s="68"/>
      <c r="J74" s="65"/>
      <c r="K74" s="21"/>
      <c r="L74" s="21"/>
    </row>
    <row r="75" spans="2:12" s="8" customFormat="1" x14ac:dyDescent="0.25">
      <c r="B75" s="7"/>
      <c r="C75" s="29" t="s">
        <v>61</v>
      </c>
      <c r="D75" s="40" t="s">
        <v>67</v>
      </c>
      <c r="E75" s="67">
        <v>1653510.52</v>
      </c>
      <c r="F75" s="67">
        <v>2012611.72</v>
      </c>
      <c r="G75" s="100"/>
      <c r="H75" s="21"/>
      <c r="I75" s="68"/>
      <c r="J75" s="65"/>
      <c r="K75" s="21"/>
      <c r="L75" s="21"/>
    </row>
    <row r="76" spans="2:12" s="8" customFormat="1" x14ac:dyDescent="0.25">
      <c r="B76" s="7"/>
      <c r="C76" s="29" t="s">
        <v>62</v>
      </c>
      <c r="D76" s="40" t="s">
        <v>67</v>
      </c>
      <c r="E76" s="67">
        <v>1835528.39</v>
      </c>
      <c r="F76" s="67">
        <v>2400407.9900000002</v>
      </c>
      <c r="G76" s="100"/>
      <c r="H76" s="21"/>
      <c r="I76" s="68"/>
      <c r="J76" s="65"/>
      <c r="K76" s="21"/>
      <c r="L76" s="21"/>
    </row>
    <row r="77" spans="2:12" s="8" customFormat="1" x14ac:dyDescent="0.25">
      <c r="B77" s="7" t="s">
        <v>68</v>
      </c>
      <c r="C77" s="26" t="s">
        <v>69</v>
      </c>
      <c r="D77" s="40"/>
      <c r="E77" s="22"/>
      <c r="F77" s="22"/>
      <c r="G77" s="100"/>
      <c r="H77" s="21"/>
      <c r="I77" s="55"/>
      <c r="J77" s="65"/>
      <c r="K77" s="21"/>
      <c r="L77" s="21"/>
    </row>
    <row r="78" spans="2:12" s="8" customFormat="1" x14ac:dyDescent="0.25">
      <c r="B78" s="7"/>
      <c r="C78" s="29" t="s">
        <v>59</v>
      </c>
      <c r="D78" s="40" t="s">
        <v>9</v>
      </c>
      <c r="E78" s="22">
        <v>204.55</v>
      </c>
      <c r="F78" s="22">
        <v>253.44</v>
      </c>
      <c r="G78" s="100"/>
      <c r="H78" s="21"/>
      <c r="I78" s="64"/>
      <c r="J78" s="65"/>
      <c r="K78" s="21"/>
      <c r="L78" s="21"/>
    </row>
    <row r="79" spans="2:12" s="8" customFormat="1" x14ac:dyDescent="0.25">
      <c r="B79" s="7"/>
      <c r="C79" s="29" t="s">
        <v>60</v>
      </c>
      <c r="D79" s="40" t="s">
        <v>9</v>
      </c>
      <c r="E79" s="22">
        <v>346.95</v>
      </c>
      <c r="F79" s="22">
        <v>429.88</v>
      </c>
      <c r="G79" s="100"/>
      <c r="H79" s="21"/>
      <c r="I79" s="64"/>
      <c r="J79" s="65"/>
      <c r="K79" s="21"/>
      <c r="L79" s="21"/>
    </row>
    <row r="80" spans="2:12" s="8" customFormat="1" x14ac:dyDescent="0.25">
      <c r="B80" s="7"/>
      <c r="C80" s="29" t="s">
        <v>61</v>
      </c>
      <c r="D80" s="40" t="s">
        <v>9</v>
      </c>
      <c r="E80" s="22">
        <v>462.45</v>
      </c>
      <c r="F80" s="22">
        <v>572.98</v>
      </c>
      <c r="G80" s="100"/>
      <c r="H80" s="21"/>
      <c r="I80" s="64"/>
      <c r="J80" s="65"/>
      <c r="K80" s="21"/>
      <c r="L80" s="21"/>
    </row>
    <row r="81" spans="2:16" s="8" customFormat="1" x14ac:dyDescent="0.25">
      <c r="B81" s="7"/>
      <c r="C81" s="29" t="s">
        <v>62</v>
      </c>
      <c r="D81" s="40" t="s">
        <v>9</v>
      </c>
      <c r="E81" s="22">
        <v>930.38</v>
      </c>
      <c r="F81" s="22">
        <v>1152.74</v>
      </c>
      <c r="G81" s="101"/>
      <c r="H81" s="21"/>
      <c r="I81" s="64"/>
      <c r="J81" s="65"/>
      <c r="K81" s="21"/>
      <c r="L81" s="21"/>
    </row>
    <row r="82" spans="2:16" s="8" customFormat="1" ht="12.75" customHeight="1" x14ac:dyDescent="0.25">
      <c r="B82" s="7" t="s">
        <v>70</v>
      </c>
      <c r="C82" s="18" t="s">
        <v>71</v>
      </c>
      <c r="D82" s="40"/>
      <c r="E82" s="66"/>
      <c r="F82" s="66"/>
      <c r="G82" s="102" t="s">
        <v>72</v>
      </c>
      <c r="H82" s="21"/>
      <c r="I82" s="21"/>
      <c r="J82" s="21"/>
      <c r="K82" s="21"/>
      <c r="L82" s="21"/>
    </row>
    <row r="83" spans="2:16" s="8" customFormat="1" x14ac:dyDescent="0.25">
      <c r="B83" s="7" t="s">
        <v>73</v>
      </c>
      <c r="C83" s="26" t="s">
        <v>74</v>
      </c>
      <c r="D83" s="40" t="s">
        <v>67</v>
      </c>
      <c r="E83" s="22">
        <v>282975.71999999997</v>
      </c>
      <c r="F83" s="22">
        <v>322592.31</v>
      </c>
      <c r="G83" s="103"/>
      <c r="H83" s="20"/>
      <c r="I83" s="21"/>
      <c r="J83" s="21"/>
      <c r="K83" s="21"/>
      <c r="L83" s="21"/>
    </row>
    <row r="84" spans="2:16" s="8" customFormat="1" ht="12" hidden="1" customHeight="1" outlineLevel="1" x14ac:dyDescent="0.25">
      <c r="B84" s="7" t="s">
        <v>75</v>
      </c>
      <c r="C84" s="26" t="s">
        <v>76</v>
      </c>
      <c r="D84" s="40" t="s">
        <v>9</v>
      </c>
      <c r="E84" s="22"/>
      <c r="F84" s="22"/>
      <c r="G84" s="69"/>
      <c r="H84" s="21"/>
      <c r="I84" s="21"/>
      <c r="J84" s="21"/>
      <c r="K84" s="21"/>
      <c r="L84" s="21"/>
    </row>
    <row r="85" spans="2:16" s="8" customFormat="1" ht="39.6" collapsed="1" x14ac:dyDescent="0.25">
      <c r="B85" s="7" t="s">
        <v>75</v>
      </c>
      <c r="C85" s="26" t="s">
        <v>77</v>
      </c>
      <c r="D85" s="44" t="s">
        <v>78</v>
      </c>
      <c r="E85" s="70">
        <v>3.31</v>
      </c>
      <c r="F85" s="70">
        <v>3.31</v>
      </c>
      <c r="G85" s="104" t="s">
        <v>121</v>
      </c>
      <c r="H85" s="20"/>
      <c r="I85" s="21"/>
      <c r="J85" s="21"/>
      <c r="K85" s="21"/>
      <c r="L85" s="21"/>
    </row>
    <row r="86" spans="2:16" s="16" customFormat="1" ht="21" customHeight="1" x14ac:dyDescent="0.25">
      <c r="B86" s="12" t="s">
        <v>79</v>
      </c>
      <c r="C86" s="13" t="s">
        <v>80</v>
      </c>
      <c r="D86" s="14"/>
      <c r="E86" s="14"/>
      <c r="F86" s="14"/>
      <c r="G86" s="15"/>
      <c r="H86" s="27"/>
      <c r="I86" s="25"/>
      <c r="J86" s="25"/>
      <c r="K86" s="25"/>
      <c r="L86" s="25"/>
      <c r="M86" s="17"/>
    </row>
    <row r="87" spans="2:16" s="8" customFormat="1" x14ac:dyDescent="0.25">
      <c r="B87" s="7" t="s">
        <v>81</v>
      </c>
      <c r="C87" s="18" t="s">
        <v>82</v>
      </c>
      <c r="D87" s="47" t="s">
        <v>67</v>
      </c>
      <c r="E87" s="19">
        <v>337973.65</v>
      </c>
      <c r="F87" s="19">
        <v>337973.65</v>
      </c>
      <c r="G87" s="105" t="s">
        <v>83</v>
      </c>
      <c r="H87" s="21"/>
      <c r="I87" s="89"/>
      <c r="J87" s="21"/>
      <c r="K87" s="21"/>
      <c r="L87" s="21"/>
    </row>
    <row r="88" spans="2:16" s="8" customFormat="1" x14ac:dyDescent="0.25">
      <c r="B88" s="7" t="s">
        <v>84</v>
      </c>
      <c r="C88" s="18" t="s">
        <v>85</v>
      </c>
      <c r="D88" s="40" t="s">
        <v>9</v>
      </c>
      <c r="E88" s="22">
        <v>77.36</v>
      </c>
      <c r="F88" s="22">
        <v>77.36</v>
      </c>
      <c r="G88" s="106"/>
      <c r="H88" s="21"/>
      <c r="I88" s="89"/>
      <c r="J88" s="21"/>
      <c r="K88" s="21"/>
      <c r="L88" s="21"/>
    </row>
    <row r="89" spans="2:16" s="8" customFormat="1" x14ac:dyDescent="0.25">
      <c r="B89" s="7" t="s">
        <v>86</v>
      </c>
      <c r="C89" s="18" t="s">
        <v>87</v>
      </c>
      <c r="D89" s="40" t="s">
        <v>78</v>
      </c>
      <c r="E89" s="71">
        <v>2.3907630000000002</v>
      </c>
      <c r="F89" s="71">
        <v>2.3907630000000002</v>
      </c>
      <c r="G89" s="106"/>
      <c r="H89" s="27"/>
      <c r="I89" s="89"/>
      <c r="J89" s="21"/>
      <c r="K89" s="21"/>
      <c r="L89" s="21"/>
      <c r="O89" s="72"/>
      <c r="P89" s="72"/>
    </row>
    <row r="90" spans="2:16" s="8" customFormat="1" x14ac:dyDescent="0.25">
      <c r="B90" s="7" t="s">
        <v>88</v>
      </c>
      <c r="C90" s="18" t="s">
        <v>89</v>
      </c>
      <c r="D90" s="40" t="s">
        <v>9</v>
      </c>
      <c r="E90" s="22">
        <f>0.62144*1000</f>
        <v>621.43999999999994</v>
      </c>
      <c r="F90" s="22">
        <f>0.62144*1000</f>
        <v>621.43999999999994</v>
      </c>
      <c r="G90" s="107"/>
      <c r="H90" s="27"/>
      <c r="I90" s="21"/>
      <c r="J90" s="21"/>
      <c r="K90" s="21"/>
      <c r="L90" s="21"/>
    </row>
    <row r="91" spans="2:16" s="8" customFormat="1" x14ac:dyDescent="0.25">
      <c r="B91" s="7" t="s">
        <v>90</v>
      </c>
      <c r="C91" s="73" t="s">
        <v>91</v>
      </c>
      <c r="D91" s="40" t="s">
        <v>92</v>
      </c>
      <c r="E91" s="22"/>
      <c r="F91" s="22"/>
      <c r="G91" s="105" t="s">
        <v>93</v>
      </c>
      <c r="I91" s="21"/>
      <c r="J91" s="21"/>
      <c r="K91" s="21"/>
      <c r="L91" s="21"/>
    </row>
    <row r="92" spans="2:16" s="8" customFormat="1" ht="12.75" hidden="1" customHeight="1" outlineLevel="1" x14ac:dyDescent="0.25">
      <c r="B92" s="7"/>
      <c r="C92" s="74" t="s">
        <v>94</v>
      </c>
      <c r="D92" s="40"/>
      <c r="E92" s="22"/>
      <c r="F92" s="22"/>
      <c r="G92" s="106"/>
      <c r="H92" s="21"/>
      <c r="I92" s="21"/>
      <c r="J92" s="21"/>
      <c r="K92" s="21"/>
      <c r="L92" s="21"/>
    </row>
    <row r="93" spans="2:16" s="8" customFormat="1" ht="12.75" hidden="1" customHeight="1" outlineLevel="1" x14ac:dyDescent="0.25">
      <c r="B93" s="7"/>
      <c r="C93" s="74" t="s">
        <v>95</v>
      </c>
      <c r="D93" s="40"/>
      <c r="E93" s="22"/>
      <c r="F93" s="22"/>
      <c r="G93" s="106"/>
      <c r="H93" s="21"/>
      <c r="I93" s="21"/>
      <c r="J93" s="21"/>
      <c r="K93" s="21"/>
      <c r="L93" s="21"/>
    </row>
    <row r="94" spans="2:16" s="8" customFormat="1" ht="23.25" customHeight="1" collapsed="1" x14ac:dyDescent="0.25">
      <c r="B94" s="7"/>
      <c r="C94" s="75" t="s">
        <v>96</v>
      </c>
      <c r="D94" s="7" t="s">
        <v>92</v>
      </c>
      <c r="E94" s="22">
        <v>0</v>
      </c>
      <c r="F94" s="22">
        <v>0</v>
      </c>
      <c r="G94" s="106"/>
      <c r="H94" s="27"/>
      <c r="I94" s="85"/>
      <c r="J94" s="21"/>
      <c r="K94" s="21"/>
      <c r="L94" s="21"/>
    </row>
    <row r="95" spans="2:16" s="8" customFormat="1" ht="28.5" customHeight="1" x14ac:dyDescent="0.25">
      <c r="B95" s="7"/>
      <c r="C95" s="75" t="s">
        <v>97</v>
      </c>
      <c r="D95" s="7" t="s">
        <v>92</v>
      </c>
      <c r="E95" s="22">
        <v>0</v>
      </c>
      <c r="F95" s="22">
        <v>0</v>
      </c>
      <c r="G95" s="106"/>
      <c r="H95" s="21"/>
      <c r="I95" s="85"/>
      <c r="J95" s="21"/>
      <c r="K95" s="21"/>
      <c r="L95" s="21"/>
    </row>
    <row r="96" spans="2:16" s="8" customFormat="1" ht="23.25" customHeight="1" x14ac:dyDescent="0.25">
      <c r="B96" s="7"/>
      <c r="C96" s="73" t="s">
        <v>98</v>
      </c>
      <c r="D96" s="7" t="s">
        <v>99</v>
      </c>
      <c r="E96" s="22" t="s">
        <v>100</v>
      </c>
      <c r="F96" s="22" t="s">
        <v>100</v>
      </c>
      <c r="G96" s="107"/>
      <c r="H96" s="21"/>
      <c r="I96" s="21"/>
      <c r="J96" s="21"/>
      <c r="K96" s="21"/>
      <c r="L96" s="21"/>
    </row>
    <row r="97" spans="2:13" s="16" customFormat="1" ht="21" customHeight="1" x14ac:dyDescent="0.25">
      <c r="B97" s="12" t="s">
        <v>101</v>
      </c>
      <c r="C97" s="13" t="s">
        <v>102</v>
      </c>
      <c r="D97" s="14"/>
      <c r="E97" s="14"/>
      <c r="F97" s="14"/>
      <c r="G97" s="15"/>
      <c r="H97" s="25"/>
      <c r="I97" s="25"/>
      <c r="J97" s="25"/>
      <c r="K97" s="25"/>
      <c r="L97" s="25"/>
      <c r="M97" s="17"/>
    </row>
    <row r="98" spans="2:13" s="8" customFormat="1" ht="12.75" customHeight="1" x14ac:dyDescent="0.25">
      <c r="B98" s="7" t="s">
        <v>103</v>
      </c>
      <c r="C98" s="18" t="s">
        <v>104</v>
      </c>
      <c r="D98" s="40" t="s">
        <v>67</v>
      </c>
      <c r="E98" s="23">
        <v>1036.6300000000001</v>
      </c>
      <c r="F98" s="22">
        <v>1129.93</v>
      </c>
      <c r="G98" s="108" t="s">
        <v>105</v>
      </c>
      <c r="H98" s="20"/>
      <c r="I98" s="89"/>
      <c r="J98" s="21"/>
      <c r="K98" s="21"/>
      <c r="L98" s="21"/>
    </row>
    <row r="99" spans="2:13" s="8" customFormat="1" x14ac:dyDescent="0.25">
      <c r="B99" s="7" t="s">
        <v>106</v>
      </c>
      <c r="C99" s="18" t="s">
        <v>82</v>
      </c>
      <c r="D99" s="40" t="s">
        <v>9</v>
      </c>
      <c r="E99" s="23">
        <v>466484.96</v>
      </c>
      <c r="F99" s="22">
        <v>527174.64</v>
      </c>
      <c r="G99" s="109"/>
      <c r="H99" s="21"/>
      <c r="I99" s="89"/>
      <c r="J99" s="21"/>
      <c r="K99" s="21"/>
      <c r="L99" s="21"/>
    </row>
    <row r="100" spans="2:13" s="16" customFormat="1" ht="21" customHeight="1" x14ac:dyDescent="0.25">
      <c r="B100" s="12" t="s">
        <v>107</v>
      </c>
      <c r="C100" s="13" t="s">
        <v>108</v>
      </c>
      <c r="D100" s="14"/>
      <c r="E100" s="14"/>
      <c r="F100" s="14"/>
      <c r="G100" s="15"/>
      <c r="H100" s="76"/>
      <c r="I100" s="76"/>
      <c r="J100" s="76"/>
      <c r="K100" s="76"/>
      <c r="L100" s="76"/>
      <c r="M100" s="17"/>
    </row>
    <row r="101" spans="2:13" s="8" customFormat="1" ht="27" customHeight="1" x14ac:dyDescent="0.25">
      <c r="B101" s="94" t="s">
        <v>109</v>
      </c>
      <c r="C101" s="18" t="s">
        <v>110</v>
      </c>
      <c r="D101" s="40" t="s">
        <v>111</v>
      </c>
      <c r="E101" s="23"/>
      <c r="F101" s="23"/>
      <c r="G101" s="105" t="s">
        <v>112</v>
      </c>
      <c r="H101" s="77"/>
      <c r="I101" s="21"/>
      <c r="J101" s="21"/>
      <c r="K101" s="21"/>
      <c r="L101" s="21"/>
    </row>
    <row r="102" spans="2:13" s="8" customFormat="1" ht="16.5" customHeight="1" x14ac:dyDescent="0.25">
      <c r="B102" s="95"/>
      <c r="C102" s="78" t="s">
        <v>113</v>
      </c>
      <c r="D102" s="40"/>
      <c r="E102" s="23">
        <v>3.93</v>
      </c>
      <c r="F102" s="23">
        <v>4.43</v>
      </c>
      <c r="G102" s="106"/>
      <c r="H102" s="77"/>
      <c r="I102" s="21"/>
      <c r="J102" s="21"/>
      <c r="K102" s="21"/>
      <c r="L102" s="21"/>
    </row>
    <row r="103" spans="2:13" s="8" customFormat="1" ht="16.5" customHeight="1" x14ac:dyDescent="0.25">
      <c r="B103" s="95"/>
      <c r="C103" s="78" t="s">
        <v>114</v>
      </c>
      <c r="D103" s="40"/>
      <c r="E103" s="23">
        <v>3.94</v>
      </c>
      <c r="F103" s="23">
        <v>6.5</v>
      </c>
      <c r="G103" s="106"/>
      <c r="H103" s="77"/>
      <c r="I103" s="21"/>
      <c r="J103" s="21"/>
      <c r="K103" s="21"/>
      <c r="L103" s="21"/>
    </row>
    <row r="104" spans="2:13" s="8" customFormat="1" ht="15" customHeight="1" x14ac:dyDescent="0.25">
      <c r="B104" s="97"/>
      <c r="C104" s="78" t="s">
        <v>115</v>
      </c>
      <c r="D104" s="40"/>
      <c r="E104" s="23">
        <v>3.95</v>
      </c>
      <c r="F104" s="23">
        <v>7.67</v>
      </c>
      <c r="G104" s="106"/>
      <c r="H104" s="77"/>
      <c r="I104" s="21"/>
      <c r="J104" s="21"/>
      <c r="K104" s="21"/>
      <c r="L104" s="21"/>
    </row>
    <row r="105" spans="2:13" s="8" customFormat="1" ht="24" customHeight="1" x14ac:dyDescent="0.25">
      <c r="B105" s="94" t="s">
        <v>116</v>
      </c>
      <c r="C105" s="18" t="s">
        <v>117</v>
      </c>
      <c r="D105" s="40" t="s">
        <v>111</v>
      </c>
      <c r="E105" s="23"/>
      <c r="F105" s="23"/>
      <c r="G105" s="106"/>
      <c r="H105" s="79"/>
      <c r="I105" s="21"/>
      <c r="J105" s="21"/>
      <c r="K105" s="21"/>
      <c r="L105" s="21"/>
    </row>
    <row r="106" spans="2:13" s="8" customFormat="1" ht="24" customHeight="1" x14ac:dyDescent="0.25">
      <c r="B106" s="95"/>
      <c r="C106" s="78" t="s">
        <v>113</v>
      </c>
      <c r="D106" s="40"/>
      <c r="E106" s="23">
        <v>5.62</v>
      </c>
      <c r="F106" s="23">
        <v>6.33</v>
      </c>
      <c r="G106" s="106"/>
      <c r="H106" s="79"/>
      <c r="I106" s="21"/>
      <c r="J106" s="21"/>
      <c r="K106" s="21"/>
      <c r="L106" s="21"/>
    </row>
    <row r="107" spans="2:13" s="8" customFormat="1" ht="24" customHeight="1" x14ac:dyDescent="0.25">
      <c r="B107" s="95"/>
      <c r="C107" s="78" t="s">
        <v>114</v>
      </c>
      <c r="D107" s="40"/>
      <c r="E107" s="23">
        <v>5.63</v>
      </c>
      <c r="F107" s="23">
        <v>9.2799999999999994</v>
      </c>
      <c r="G107" s="106"/>
      <c r="H107" s="79"/>
      <c r="I107" s="21"/>
      <c r="J107" s="21"/>
      <c r="K107" s="21"/>
      <c r="L107" s="21"/>
    </row>
    <row r="108" spans="2:13" s="8" customFormat="1" ht="24" customHeight="1" x14ac:dyDescent="0.25">
      <c r="B108" s="97"/>
      <c r="C108" s="78" t="s">
        <v>115</v>
      </c>
      <c r="D108" s="40"/>
      <c r="E108" s="23">
        <v>5.64</v>
      </c>
      <c r="F108" s="23">
        <v>10.95</v>
      </c>
      <c r="G108" s="107"/>
      <c r="H108" s="79"/>
      <c r="I108" s="21"/>
      <c r="J108" s="21"/>
      <c r="K108" s="21"/>
      <c r="L108" s="21"/>
    </row>
    <row r="109" spans="2:13" x14ac:dyDescent="0.25">
      <c r="C109" s="80"/>
      <c r="E109" s="64"/>
      <c r="F109" s="64"/>
    </row>
    <row r="110" spans="2:13" x14ac:dyDescent="0.25">
      <c r="C110" s="81" t="s">
        <v>118</v>
      </c>
      <c r="D110" t="s">
        <v>119</v>
      </c>
      <c r="E110" s="64"/>
      <c r="F110" s="64"/>
    </row>
    <row r="111" spans="2:13" x14ac:dyDescent="0.25">
      <c r="E111" s="64"/>
      <c r="F111" s="64"/>
    </row>
    <row r="112" spans="2:13" x14ac:dyDescent="0.25">
      <c r="E112" s="82"/>
      <c r="F112" s="82"/>
    </row>
    <row r="113" spans="5:6" x14ac:dyDescent="0.25">
      <c r="E113" s="64"/>
      <c r="F113" s="64"/>
    </row>
    <row r="114" spans="5:6" x14ac:dyDescent="0.25">
      <c r="E114" s="64"/>
      <c r="F114" s="64"/>
    </row>
    <row r="115" spans="5:6" x14ac:dyDescent="0.25">
      <c r="E115" s="83"/>
      <c r="F115" s="83"/>
    </row>
  </sheetData>
  <mergeCells count="22">
    <mergeCell ref="G98:G99"/>
    <mergeCell ref="I98:I99"/>
    <mergeCell ref="B101:B104"/>
    <mergeCell ref="G101:G108"/>
    <mergeCell ref="B105:B108"/>
    <mergeCell ref="B2:G2"/>
    <mergeCell ref="G82:G83"/>
    <mergeCell ref="G87:G90"/>
    <mergeCell ref="I87:I89"/>
    <mergeCell ref="E12:E13"/>
    <mergeCell ref="F12:F13"/>
    <mergeCell ref="G8:G15"/>
    <mergeCell ref="E4:F4"/>
    <mergeCell ref="G4:G6"/>
    <mergeCell ref="B4:B5"/>
    <mergeCell ref="C4:C5"/>
    <mergeCell ref="D4:D5"/>
    <mergeCell ref="G91:G96"/>
    <mergeCell ref="I94:I95"/>
    <mergeCell ref="H24:L24"/>
    <mergeCell ref="J30:J32"/>
    <mergeCell ref="G23:G81"/>
  </mergeCells>
  <hyperlinks>
    <hyperlink ref="G17" r:id="rId1" xr:uid="{00000000-0004-0000-0000-000000000000}"/>
    <hyperlink ref="G8:G15" r:id="rId2" display="Постановление РЭК СО №131-ПК от 10.12.2024г." xr:uid="{AAEF6686-56F2-4298-8E1A-7343BBC4821A}"/>
    <hyperlink ref="G18" r:id="rId3" xr:uid="{44644645-35F3-4816-8BD9-82BC9B76D89B}"/>
    <hyperlink ref="G19" r:id="rId4" xr:uid="{2F79E7AA-7736-4E07-86D6-79EB3A7BC50D}"/>
    <hyperlink ref="G23:G81" r:id="rId5" display="http://mef.ru/upload/Tarif/2025_CO_Постановление РЭК СО 135-ПК от 10.12.2024г. _Котловые тарифы.pdf" xr:uid="{8ACF7085-D380-45A2-9618-2ED56C410EF6}"/>
    <hyperlink ref="G82:G83" r:id="rId6" display="Приказ ФАС России от 31.10.2024 N 816/24" xr:uid="{361D0C37-EB1D-4130-A22F-5C8522815138}"/>
    <hyperlink ref="G85" r:id="rId7" xr:uid="{81FBC7A0-8F63-4E99-AA3F-9C2D54AEB98A}"/>
    <hyperlink ref="G87:G90" r:id="rId8" display="Постановление РЭК Свердловской области №133-ПК от 10.12.2024" xr:uid="{EA70A1FC-790A-4373-981D-8FF94C3BAA74}"/>
    <hyperlink ref="G91:G96" r:id="rId9" display="Постановление РЭК Свердловской области №116-ПК от 29.11.2024" xr:uid="{13001020-6112-437A-BA18-E3D5A024917E}"/>
    <hyperlink ref="G98:G99" r:id="rId10" display="Приказ ФАС №908-24 от 27.11.2024" xr:uid="{D20E77BC-5A62-4110-88BF-96AE3E8739CE}"/>
    <hyperlink ref="G101:G108" r:id="rId11" display="Постановление РЭК СО  № 130-ПК 10.12.2024" xr:uid="{14D20C8A-B447-45DF-9B95-6697FC9053BD}"/>
  </hyperlinks>
  <pageMargins left="0.23622047244094491" right="0.23622047244094491" top="0.74803149606299213" bottom="0.74803149606299213" header="0.31496062992125984" footer="0.31496062992125984"/>
  <pageSetup paperSize="9" scale="56" fitToHeight="0" orientation="portrait" r:id="rId12"/>
  <colBreaks count="1" manualBreakCount="1">
    <brk id="11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СО.</vt:lpstr>
      <vt:lpstr>СО.!Область_печати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Lev.Sorokin@evraz.com</dc:creator>
  <cp:lastModifiedBy>Alex</cp:lastModifiedBy>
  <dcterms:created xsi:type="dcterms:W3CDTF">2026-01-13T04:44:12Z</dcterms:created>
  <dcterms:modified xsi:type="dcterms:W3CDTF">2026-01-14T01:10:50Z</dcterms:modified>
</cp:coreProperties>
</file>